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filterPrivacy="1" codeName="ThisWorkbook" autoCompressPictures="0" defaultThemeVersion="166925"/>
  <xr:revisionPtr revIDLastSave="0" documentId="13_ncr:1_{86F64930-E7D5-6440-8393-F5C787787A07}" xr6:coauthVersionLast="46" xr6:coauthVersionMax="46" xr10:uidLastSave="{00000000-0000-0000-0000-000000000000}"/>
  <bookViews>
    <workbookView xWindow="20" yWindow="460" windowWidth="11040" windowHeight="14180" xr2:uid="{00000000-000D-0000-FFFF-FFFF00000000}"/>
  </bookViews>
  <sheets>
    <sheet name="Cover" sheetId="12" r:id="rId1"/>
    <sheet name="Index" sheetId="13" r:id="rId2"/>
    <sheet name="Input" sheetId="2" r:id="rId3"/>
    <sheet name="WACC" sheetId="4" r:id="rId4"/>
    <sheet name="Ke_FSI" sheetId="11" r:id="rId5"/>
    <sheet name="Peers" sheetId="5" r:id="rId6"/>
    <sheet name="Kd" sheetId="3" r:id="rId7"/>
    <sheet name="Tax" sheetId="6" r:id="rId8"/>
    <sheet name="ERP" sheetId="7" r:id="rId9"/>
    <sheet name="CRP" sheetId="8" r:id="rId10"/>
    <sheet name="Inflation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3" l="1"/>
  <c r="A2" i="10"/>
  <c r="A2" i="8"/>
  <c r="A2" i="7"/>
  <c r="A2" i="6"/>
  <c r="A2" i="3"/>
  <c r="A2" i="5"/>
  <c r="A2" i="11"/>
  <c r="A2" i="4"/>
  <c r="A2" i="2"/>
  <c r="A3" i="13"/>
  <c r="A3" i="10" l="1"/>
  <c r="A3" i="8"/>
  <c r="A3" i="7"/>
  <c r="A3" i="6"/>
  <c r="A3" i="3"/>
  <c r="A3" i="5"/>
  <c r="A3" i="11"/>
  <c r="A3" i="4"/>
  <c r="A3" i="2"/>
  <c r="D6" i="3" l="1"/>
  <c r="C6" i="3" s="1"/>
  <c r="C6" i="10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L7" i="5"/>
  <c r="L8" i="5"/>
  <c r="J8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B13" i="11"/>
  <c r="B5" i="11"/>
  <c r="D15" i="11"/>
  <c r="J8" i="10"/>
  <c r="D9" i="11"/>
  <c r="D10" i="11"/>
  <c r="D19" i="11"/>
  <c r="D20" i="11"/>
  <c r="C8" i="11"/>
  <c r="B6" i="11"/>
  <c r="J7" i="5"/>
  <c r="C13" i="4"/>
  <c r="D9" i="4"/>
  <c r="D10" i="4"/>
  <c r="B7" i="10"/>
  <c r="C15" i="3"/>
  <c r="D15" i="3"/>
  <c r="C8" i="4"/>
  <c r="I8" i="10"/>
  <c r="I7" i="10"/>
  <c r="D6" i="10"/>
  <c r="E6" i="10" s="1"/>
  <c r="F6" i="10" s="1"/>
  <c r="G6" i="10" s="1"/>
  <c r="H6" i="10" s="1"/>
  <c r="I15" i="3"/>
  <c r="I16" i="3" s="1"/>
  <c r="H15" i="3"/>
  <c r="G15" i="3"/>
  <c r="F15" i="3"/>
  <c r="E15" i="3"/>
  <c r="B6" i="3"/>
  <c r="B5" i="3"/>
  <c r="I6" i="5"/>
  <c r="H6" i="5"/>
  <c r="D23" i="4"/>
  <c r="D22" i="4"/>
  <c r="D18" i="4"/>
  <c r="K6" i="5"/>
  <c r="D15" i="4"/>
  <c r="D30" i="4" s="1"/>
  <c r="B5" i="4"/>
  <c r="B6" i="4"/>
  <c r="M7" i="5" l="1"/>
  <c r="M8" i="5"/>
  <c r="D24" i="4"/>
  <c r="D11" i="11"/>
  <c r="D16" i="11" s="1"/>
  <c r="D17" i="11" s="1"/>
  <c r="D11" i="4"/>
  <c r="D19" i="4" s="1"/>
  <c r="D20" i="4" s="1"/>
  <c r="D21" i="11"/>
  <c r="E6" i="3"/>
  <c r="F6" i="3" s="1"/>
  <c r="G6" i="3" s="1"/>
  <c r="H6" i="3" s="1"/>
  <c r="I6" i="3" s="1"/>
  <c r="H16" i="3"/>
  <c r="F16" i="3"/>
  <c r="E16" i="3"/>
  <c r="D16" i="3"/>
  <c r="D29" i="4" s="1"/>
  <c r="D31" i="4" s="1"/>
  <c r="L9" i="5"/>
  <c r="N7" i="5"/>
  <c r="N8" i="5"/>
  <c r="G16" i="3"/>
  <c r="J16" i="3" l="1"/>
  <c r="L10" i="5"/>
  <c r="J10" i="5"/>
  <c r="M10" i="5" s="1"/>
  <c r="N10" i="5" s="1"/>
  <c r="J9" i="5"/>
  <c r="J11" i="5"/>
  <c r="M11" i="5" l="1"/>
  <c r="N11" i="5" s="1"/>
  <c r="M9" i="5"/>
  <c r="N9" i="5" s="1"/>
  <c r="L11" i="5"/>
  <c r="J12" i="5"/>
  <c r="M12" i="5" s="1"/>
  <c r="L12" i="5" l="1"/>
  <c r="N12" i="5"/>
  <c r="J13" i="5"/>
  <c r="M13" i="5" s="1"/>
  <c r="L13" i="5" l="1"/>
  <c r="J14" i="5"/>
  <c r="M14" i="5" s="1"/>
  <c r="N13" i="5"/>
  <c r="L14" i="5" l="1"/>
  <c r="N14" i="5"/>
  <c r="J15" i="5"/>
  <c r="M15" i="5" s="1"/>
  <c r="L15" i="5" l="1"/>
  <c r="N15" i="5"/>
  <c r="J16" i="5"/>
  <c r="M16" i="5" l="1"/>
  <c r="N16" i="5" s="1"/>
  <c r="L16" i="5"/>
  <c r="J17" i="5"/>
  <c r="M17" i="5" s="1"/>
  <c r="L17" i="5" l="1"/>
  <c r="N17" i="5"/>
  <c r="J18" i="5"/>
  <c r="M18" i="5" l="1"/>
  <c r="N18" i="5" s="1"/>
  <c r="L18" i="5"/>
  <c r="J19" i="5"/>
  <c r="M19" i="5" l="1"/>
  <c r="N19" i="5" s="1"/>
  <c r="L19" i="5"/>
  <c r="J20" i="5"/>
  <c r="M20" i="5" l="1"/>
  <c r="N20" i="5" s="1"/>
  <c r="L20" i="5"/>
  <c r="J21" i="5"/>
  <c r="M21" i="5" l="1"/>
  <c r="N21" i="5" s="1"/>
  <c r="L21" i="5"/>
  <c r="J22" i="5"/>
  <c r="M22" i="5" l="1"/>
  <c r="N22" i="5" s="1"/>
  <c r="L22" i="5"/>
  <c r="J23" i="5"/>
  <c r="M23" i="5" l="1"/>
  <c r="N23" i="5" s="1"/>
  <c r="L23" i="5"/>
  <c r="J24" i="5"/>
  <c r="M24" i="5" l="1"/>
  <c r="N24" i="5" s="1"/>
  <c r="L24" i="5"/>
  <c r="J25" i="5"/>
  <c r="M25" i="5" l="1"/>
  <c r="N25" i="5" s="1"/>
  <c r="L25" i="5"/>
  <c r="J26" i="5"/>
  <c r="M26" i="5" l="1"/>
  <c r="N26" i="5" s="1"/>
  <c r="L26" i="5"/>
  <c r="J27" i="5"/>
  <c r="M27" i="5" l="1"/>
  <c r="N27" i="5" s="1"/>
  <c r="L27" i="5"/>
  <c r="J28" i="5"/>
  <c r="M28" i="5" l="1"/>
  <c r="N28" i="5" s="1"/>
  <c r="L28" i="5"/>
  <c r="J29" i="5"/>
  <c r="M29" i="5" l="1"/>
  <c r="N29" i="5" s="1"/>
  <c r="L29" i="5"/>
  <c r="J31" i="5"/>
  <c r="M31" i="5" s="1"/>
  <c r="J30" i="5"/>
  <c r="M30" i="5" l="1"/>
  <c r="N30" i="5" s="1"/>
  <c r="L31" i="5"/>
  <c r="L30" i="5"/>
  <c r="N31" i="5"/>
  <c r="J35" i="5"/>
  <c r="J33" i="5"/>
  <c r="D14" i="4" s="1"/>
  <c r="D35" i="4" s="1"/>
  <c r="J32" i="5"/>
  <c r="J34" i="5"/>
  <c r="L34" i="5" l="1"/>
  <c r="L32" i="5"/>
  <c r="L33" i="5"/>
  <c r="D13" i="11" s="1"/>
  <c r="D23" i="11" s="1"/>
  <c r="L35" i="5"/>
  <c r="D36" i="4"/>
  <c r="D38" i="4"/>
  <c r="N35" i="5" l="1"/>
  <c r="N33" i="5"/>
  <c r="D13" i="4" s="1"/>
  <c r="D16" i="4" s="1"/>
  <c r="D26" i="4" s="1"/>
  <c r="D39" i="4" s="1"/>
  <c r="D40" i="4" s="1"/>
  <c r="N32" i="5"/>
  <c r="N3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7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>Big 4 Confidential</t>
        </r>
        <r>
          <rPr>
            <b/>
            <sz val="10"/>
            <color rgb="FF000000"/>
            <rFont val="Tahoma"/>
            <family val="2"/>
          </rPr>
          <t>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select Y for less developed countries that do not frequently issue government bonds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6" authorId="0" shapeId="0" xr:uid="{00000000-0006-0000-0300-000001000000}">
      <text>
        <r>
          <rPr>
            <b/>
            <sz val="8"/>
            <color rgb="FF000000"/>
            <rFont val="Tahoma"/>
            <family val="2"/>
          </rPr>
          <t xml:space="preserve">Big 4 Confidential: 
</t>
        </r>
        <r>
          <rPr>
            <sz val="8"/>
            <color rgb="FF000000"/>
            <rFont val="Tahoma"/>
            <family val="2"/>
          </rPr>
          <t>if the number of shares traded out of total shares outstanding is low, the peer group company should not be included in the analysis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6" authorId="0" shapeId="0" xr:uid="{00000000-0006-0000-0400-000001000000}">
      <text>
        <r>
          <rPr>
            <b/>
            <sz val="9"/>
            <color rgb="FF000000"/>
            <rFont val="Calibri"/>
            <family val="2"/>
            <scheme val="minor"/>
          </rPr>
          <t>Big 4 Confidential</t>
        </r>
        <r>
          <rPr>
            <b/>
            <sz val="9"/>
            <color rgb="FF000000"/>
            <rFont val="Tahoma"/>
            <family val="2"/>
          </rPr>
          <t xml:space="preserve">: 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the average considers the 5Y projection period. Feel free to adjust as required</t>
        </r>
      </text>
    </comment>
  </commentList>
</comments>
</file>

<file path=xl/sharedStrings.xml><?xml version="1.0" encoding="utf-8"?>
<sst xmlns="http://schemas.openxmlformats.org/spreadsheetml/2006/main" count="778" uniqueCount="345">
  <si>
    <t>Cost of equity</t>
  </si>
  <si>
    <t>Unlevered beta</t>
  </si>
  <si>
    <t>General input</t>
  </si>
  <si>
    <t>Cost of capital input</t>
  </si>
  <si>
    <t>Company Name</t>
  </si>
  <si>
    <t>Name</t>
  </si>
  <si>
    <t>Valuation date</t>
  </si>
  <si>
    <t>Currency</t>
  </si>
  <si>
    <t>Tax rate</t>
  </si>
  <si>
    <t>Company</t>
  </si>
  <si>
    <t>Country</t>
  </si>
  <si>
    <t>Corporate tax rate</t>
  </si>
  <si>
    <t>Total debt</t>
  </si>
  <si>
    <t>Implied D/E ratio</t>
  </si>
  <si>
    <t>Peer group company 1</t>
  </si>
  <si>
    <t>Peer group company 2</t>
  </si>
  <si>
    <t>Peer group company 3</t>
  </si>
  <si>
    <t>Peer group company 4</t>
  </si>
  <si>
    <t>Peer group company 5</t>
  </si>
  <si>
    <t>Peer group company 6</t>
  </si>
  <si>
    <t>Peer group company 7</t>
  </si>
  <si>
    <t>Peer group company 8</t>
  </si>
  <si>
    <t>Peer group company 9</t>
  </si>
  <si>
    <t>Peer group company 10</t>
  </si>
  <si>
    <t>Peer group company 11</t>
  </si>
  <si>
    <t>Peer group company 12</t>
  </si>
  <si>
    <t>Peer group company 13</t>
  </si>
  <si>
    <t>Peer group company 14</t>
  </si>
  <si>
    <t>Peer group company 15</t>
  </si>
  <si>
    <t>Peer group company 16</t>
  </si>
  <si>
    <t>Peer group company 17</t>
  </si>
  <si>
    <t>Peer group company 18</t>
  </si>
  <si>
    <t>Peer group company 19</t>
  </si>
  <si>
    <t>Peer group company 20</t>
  </si>
  <si>
    <t>Peer group company 21</t>
  </si>
  <si>
    <t>Peer group company 22</t>
  </si>
  <si>
    <t>Peer group company 23</t>
  </si>
  <si>
    <t>Peer group company 24</t>
  </si>
  <si>
    <t>Peer group company 25</t>
  </si>
  <si>
    <t>Min</t>
  </si>
  <si>
    <t>Average</t>
  </si>
  <si>
    <t>Median</t>
  </si>
  <si>
    <t>Max</t>
  </si>
  <si>
    <t>Free float check</t>
  </si>
  <si>
    <t>Inflation differential</t>
  </si>
  <si>
    <t>Country risk premium (CRP)</t>
  </si>
  <si>
    <t>Risk free rate (Rf)</t>
  </si>
  <si>
    <t>Relevered beta</t>
  </si>
  <si>
    <t>Market risk premium (MRP)</t>
  </si>
  <si>
    <t>Cost of equity (Ke)</t>
  </si>
  <si>
    <t>Cost of debt</t>
  </si>
  <si>
    <t>Pre-tax cost of debt</t>
  </si>
  <si>
    <t>WACC</t>
  </si>
  <si>
    <t>Debt</t>
  </si>
  <si>
    <t>Equity</t>
  </si>
  <si>
    <t>Capital structure</t>
  </si>
  <si>
    <t>Size Premium</t>
  </si>
  <si>
    <t>CSRP</t>
  </si>
  <si>
    <t>Post-tax cost of debt (Kd)</t>
  </si>
  <si>
    <t>Cost of capital proportion</t>
  </si>
  <si>
    <t>Average gearing ratio (D/E)</t>
  </si>
  <si>
    <t>Risk free rate</t>
  </si>
  <si>
    <t>Tax rates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</si>
  <si>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</si>
  <si>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</si>
  <si>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</si>
  <si>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</si>
  <si>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</si>
  <si>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</si>
  <si>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</si>
  <si>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</si>
  <si>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</si>
  <si>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</si>
  <si>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</si>
  <si>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</si>
  <si>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</si>
  <si>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</si>
  <si>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</si>
  <si>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</si>
  <si>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</si>
  <si>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</si>
  <si>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</si>
  <si>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Benin</t>
  </si>
  <si>
    <t>Bermuda</t>
  </si>
  <si>
    <t>Bolivia</t>
  </si>
  <si>
    <t>Bonaire, Saint Eustatius and Saba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</si>
  <si>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</si>
  <si>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</si>
  <si>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</si>
  <si>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</si>
  <si>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</si>
  <si>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</si>
  <si>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</si>
  <si>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</si>
  <si>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</si>
  <si>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</si>
  <si>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</si>
  <si>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Chile</t>
  </si>
  <si>
    <t>China</t>
  </si>
  <si>
    <t>Colombia</t>
  </si>
  <si>
    <t>Congo (Democratic Republic of the)</t>
  </si>
  <si>
    <t>Costa Rica</t>
  </si>
  <si>
    <t>Croatia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</si>
  <si>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</si>
  <si>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</si>
  <si>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</si>
  <si>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</si>
  <si>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</si>
  <si>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</si>
  <si>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</si>
  <si>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</si>
  <si>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</si>
  <si>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</si>
  <si>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</si>
  <si>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</si>
  <si>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</si>
  <si>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</si>
  <si>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</si>
  <si>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</si>
  <si>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</si>
  <si>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</si>
  <si>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</si>
  <si>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</si>
  <si>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</si>
  <si>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</si>
  <si>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</si>
  <si>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Guatemala</t>
  </si>
  <si>
    <t>Guernsey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</si>
  <si>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</si>
  <si>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</si>
  <si>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</si>
  <si>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</si>
  <si>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</si>
  <si>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</si>
  <si>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</si>
  <si>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</si>
  <si>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</si>
  <si>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</si>
  <si>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</si>
  <si>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</si>
  <si>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</si>
  <si>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</si>
  <si>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</si>
  <si>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</si>
  <si>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</si>
  <si>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</si>
  <si>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Kuwait</t>
  </si>
  <si>
    <t>Kyrgyzstan</t>
  </si>
  <si>
    <t>Latvia</t>
  </si>
  <si>
    <t>Lebanon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</si>
  <si>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</si>
  <si>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</si>
  <si>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</si>
  <si>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</si>
  <si>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</si>
  <si>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</si>
  <si>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</si>
  <si>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</si>
  <si>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</si>
  <si>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Malta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</si>
  <si>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</si>
  <si>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</si>
  <si>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</si>
  <si>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</si>
  <si>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</si>
  <si>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</si>
  <si>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</si>
  <si>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</si>
  <si>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</si>
  <si>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</si>
  <si>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Netherlands</t>
  </si>
  <si>
    <t>New Zealand</t>
  </si>
  <si>
    <t>Nicaragua</t>
  </si>
  <si>
    <t>Nigeria</t>
  </si>
  <si>
    <t>Norway</t>
  </si>
  <si>
    <t>Oman</t>
  </si>
  <si>
    <t>Pakistan</t>
  </si>
  <si>
    <t>Palestinian Territory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</si>
  <si>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</si>
  <si>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</si>
  <si>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</si>
  <si>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</si>
  <si>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</si>
  <si>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</si>
  <si>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</si>
  <si>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</si>
  <si>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</si>
  <si>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</si>
  <si>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</si>
  <si>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</si>
  <si>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</si>
  <si>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</si>
  <si>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</si>
  <si>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Saudi Arabia</t>
  </si>
  <si>
    <t>Senegal</t>
  </si>
  <si>
    <t>Serbia</t>
  </si>
  <si>
    <t>Sierra Leone</t>
  </si>
  <si>
    <t>Singapore</t>
  </si>
  <si>
    <t>Sint Maarten (Dutch part)</t>
  </si>
  <si>
    <t>Slovakia</t>
  </si>
  <si>
    <t>Slovenia</t>
  </si>
  <si>
    <t>Solomon Islands</t>
  </si>
  <si>
    <t>South Africa</t>
  </si>
  <si>
    <t>South Korea</t>
  </si>
  <si>
    <t>Spain</t>
  </si>
  <si>
    <t>Sri Lanka</t>
  </si>
  <si>
    <t>St Maarten</t>
  </si>
  <si>
    <t>Sudan</t>
  </si>
  <si>
    <t>Suriname</t>
  </si>
  <si>
    <t>Swaziland</t>
  </si>
  <si>
    <t>Sweden</t>
  </si>
  <si>
    <t>Switzerland</t>
  </si>
  <si>
    <t>Syria</t>
  </si>
  <si>
    <t>Taiwan</t>
  </si>
  <si>
    <t>Tanzania</t>
  </si>
  <si>
    <t>Thailand</t>
  </si>
  <si>
    <t>Trinidad and Tobago</t>
  </si>
  <si>
    <t>Tunisia</t>
  </si>
  <si>
    <t>Turkey</t>
  </si>
  <si>
    <t>Turkmenistan</t>
  </si>
  <si>
    <t>Turks and Caicos Islands</t>
  </si>
  <si>
    <t>Uganda</t>
  </si>
  <si>
    <t>Ukraine</t>
  </si>
  <si>
    <t>UAE</t>
  </si>
  <si>
    <t>UK</t>
  </si>
  <si>
    <t>US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</si>
  <si>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</si>
  <si>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</si>
  <si>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</si>
  <si>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</si>
  <si>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</si>
  <si>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</si>
  <si>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</si>
  <si>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</si>
  <si>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Africa average</t>
  </si>
  <si>
    <t>Americas average</t>
  </si>
  <si>
    <t>Asia average</t>
  </si>
  <si>
    <t>EU average</t>
  </si>
  <si>
    <t>Europe average</t>
  </si>
  <si>
    <t>Global average</t>
  </si>
  <si>
    <t>Latin America average</t>
  </si>
  <si>
    <t>North America average</t>
  </si>
  <si>
    <t>Oceania average</t>
  </si>
  <si>
    <t>OECD average</t>
  </si>
  <si>
    <t>South America average</t>
  </si>
  <si>
    <t>Source:</t>
  </si>
  <si>
    <t>https://home.kpmg.com/xx/en/home/services/tax/tax-tools-and-resources/tax-rates-online/corporate-tax-rates-table.html</t>
  </si>
  <si>
    <t>Y</t>
  </si>
  <si>
    <t>Levered beta average</t>
  </si>
  <si>
    <t>2Y monthly</t>
  </si>
  <si>
    <t>Weighted average cost of capital</t>
  </si>
  <si>
    <t>http://pages.stern.nyu.edu/~adamodar/New_Home_Page/datafile/ctryprem.html</t>
  </si>
  <si>
    <t>Country Risk Premium</t>
  </si>
  <si>
    <t>Frontier Markets (no sovereign ratings)</t>
  </si>
  <si>
    <t>ERP</t>
  </si>
  <si>
    <t>CRP</t>
  </si>
  <si>
    <t>Abu Dhabi</t>
  </si>
  <si>
    <t>Andorra (Principality of)</t>
  </si>
  <si>
    <t>Belize</t>
  </si>
  <si>
    <t>Cape Verde</t>
  </si>
  <si>
    <t>Congo (Democratic Republic of)</t>
  </si>
  <si>
    <t>Congo (Republic of)</t>
  </si>
  <si>
    <t>Cook Islands</t>
  </si>
  <si>
    <t>Côte d'Ivoire</t>
  </si>
  <si>
    <t>Cuba</t>
  </si>
  <si>
    <t>Guernsey (States of)</t>
  </si>
  <si>
    <t>Jersey (States of)</t>
  </si>
  <si>
    <t>Korea</t>
  </si>
  <si>
    <t>Laos</t>
  </si>
  <si>
    <t>Macao</t>
  </si>
  <si>
    <t>Maldives</t>
  </si>
  <si>
    <t>Mali</t>
  </si>
  <si>
    <t>Montserrat</t>
  </si>
  <si>
    <t>Niger</t>
  </si>
  <si>
    <t>Ras Al Khaimah (Emirate of)</t>
  </si>
  <si>
    <t>Sharjah</t>
  </si>
  <si>
    <t>St. Maarten</t>
  </si>
  <si>
    <t>St. Vincent &amp; the Grenadines</t>
  </si>
  <si>
    <t>Tajikistan</t>
  </si>
  <si>
    <t>Togo</t>
  </si>
  <si>
    <t>United Arab Emirates</t>
  </si>
  <si>
    <t>United Kingdom</t>
  </si>
  <si>
    <t>United States</t>
  </si>
  <si>
    <t>Brunei</t>
  </si>
  <si>
    <t>Guinea</t>
  </si>
  <si>
    <t>Guinea-Bissau</t>
  </si>
  <si>
    <t>Guyana</t>
  </si>
  <si>
    <t>Haiti</t>
  </si>
  <si>
    <t>Iran</t>
  </si>
  <si>
    <t>Korea, D.P.R.</t>
  </si>
  <si>
    <t>Liberia</t>
  </si>
  <si>
    <t>Somalia</t>
  </si>
  <si>
    <t>Yemen, Republic</t>
  </si>
  <si>
    <t>&lt;&lt; link to "Tax" sheet</t>
  </si>
  <si>
    <t>&lt;&lt; link to "ERP" sheet</t>
  </si>
  <si>
    <t>&lt;&lt; link to "CRP" sheet</t>
  </si>
  <si>
    <t>Free float check (min)</t>
  </si>
  <si>
    <t>m</t>
  </si>
  <si>
    <t>USD</t>
  </si>
  <si>
    <t>Currency units</t>
  </si>
  <si>
    <t>Equity risk premium (ERP)</t>
  </si>
  <si>
    <t>Interest expenses</t>
  </si>
  <si>
    <t>Effective interest rate</t>
  </si>
  <si>
    <t>Loan 1</t>
  </si>
  <si>
    <t>Loan 2</t>
  </si>
  <si>
    <t>Loan 3</t>
  </si>
  <si>
    <t>Loan 4</t>
  </si>
  <si>
    <t>Loan 5</t>
  </si>
  <si>
    <t>[ ]</t>
  </si>
  <si>
    <t>&lt;&lt; select from list</t>
  </si>
  <si>
    <t>Comparable companies analysis</t>
  </si>
  <si>
    <t>&lt;&lt; update manually</t>
  </si>
  <si>
    <t>Template instructions</t>
  </si>
  <si>
    <t>Cell color</t>
  </si>
  <si>
    <t>&lt;&lt; populate manually</t>
  </si>
  <si>
    <t>Mauritania</t>
  </si>
  <si>
    <t>n.a.</t>
  </si>
  <si>
    <t>USA</t>
  </si>
  <si>
    <t>LT differential</t>
  </si>
  <si>
    <t>Local Rf build up?</t>
  </si>
  <si>
    <t>Rf Government Name</t>
  </si>
  <si>
    <t>Government bond yield type</t>
  </si>
  <si>
    <t>20Y</t>
  </si>
  <si>
    <t>12M average</t>
  </si>
  <si>
    <t>Risk premium (RP)</t>
  </si>
  <si>
    <t>Government bond maturity</t>
  </si>
  <si>
    <t>CPI (%)</t>
  </si>
  <si>
    <t>Inflation forecast and long-term differential</t>
  </si>
  <si>
    <t>Adjusted levered beta</t>
  </si>
  <si>
    <t>Adjusted unlevered beta</t>
  </si>
  <si>
    <t>Free float (% total shares outstanding)</t>
  </si>
  <si>
    <t>Include peer (manual selection)</t>
  </si>
  <si>
    <t>Equity Risk Premium</t>
  </si>
  <si>
    <t>Index</t>
  </si>
  <si>
    <t>Discount rate estimation</t>
  </si>
  <si>
    <t>Link</t>
  </si>
  <si>
    <t>Input</t>
  </si>
  <si>
    <t>February 2021</t>
  </si>
  <si>
    <t>Excel template</t>
  </si>
  <si>
    <t>Tab name</t>
  </si>
  <si>
    <t>Ke_FSI</t>
  </si>
  <si>
    <t>Peers</t>
  </si>
  <si>
    <t>Kd</t>
  </si>
  <si>
    <t>Tax</t>
  </si>
  <si>
    <t>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</si>
</sst>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#,##0.0_);\(#,##0.0\);\-_);@"/>
    <numFmt numFmtId="166" formatCode="[$-409]d\ mmmm\ yyyy;@"/>
    <numFmt numFmtId="167" formatCode="#,##0.00_);\(#,##0.00\);\-_);@"/>
    <numFmt numFmtId="168" formatCode="#,##0_);\(#,##0\);\-"/>
    <numFmt numFmtId="169" formatCode="#,##0.0_);\(#,##0.0\);\-"/>
    <numFmt numFmtId="170" formatCode="#,##0.0"/>
    <numFmt numFmtId="171" formatCode="0.000%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rgb="FFC00000"/>
      <name val="Verdan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sz val="12"/>
      <color theme="1"/>
      <name val="Verdana"/>
      <family val="2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b/>
      <sz val="8"/>
      <color rgb="FF00338D"/>
      <name val="Verdana"/>
      <family val="2"/>
    </font>
    <font>
      <i/>
      <sz val="8"/>
      <name val="Verdan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  <font>
      <sz val="8"/>
      <color rgb="FFFFFFFF"/>
      <name val="Verdana"/>
      <family val="2"/>
    </font>
    <font>
      <sz val="10"/>
      <name val="Geneva"/>
      <family val="2"/>
    </font>
    <font>
      <b/>
      <sz val="10"/>
      <color rgb="FF000000"/>
      <name val="Tahoma"/>
      <family val="2"/>
    </font>
    <font>
      <b/>
      <sz val="9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Calibri"/>
      <family val="2"/>
    </font>
    <font>
      <sz val="8"/>
      <color rgb="FF747678"/>
      <name val="Verdana"/>
      <family val="2"/>
    </font>
    <font>
      <i/>
      <sz val="8"/>
      <color rgb="FFC00000"/>
      <name val="Verdana"/>
      <family val="2"/>
    </font>
    <font>
      <b/>
      <sz val="11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Alignment="0" applyProtection="0"/>
    <xf numFmtId="0" fontId="30" fillId="0" borderId="0" applyFill="0" applyProtection="0">
      <alignment wrapText="1"/>
    </xf>
    <xf numFmtId="0" fontId="30" fillId="0" borderId="23" applyFill="0" applyProtection="0">
      <alignment horizontal="right" wrapText="1"/>
    </xf>
  </cellStyleXfs>
  <cellXfs count="201">
    <xf numFmtId="0" fontId="0" fillId="0" borderId="0" xfId="0"/>
    <xf numFmtId="164" fontId="3" fillId="0" borderId="12" xfId="1" applyNumberFormat="1" applyFont="1" applyFill="1" applyBorder="1" applyAlignment="1">
      <alignment horizontal="right" vertical="center"/>
    </xf>
    <xf numFmtId="165" fontId="4" fillId="5" borderId="0" xfId="3" applyNumberFormat="1" applyFont="1" applyFill="1" applyBorder="1" applyAlignment="1">
      <alignment horizontal="left" vertical="center"/>
    </xf>
    <xf numFmtId="165" fontId="10" fillId="2" borderId="2" xfId="3" applyNumberFormat="1" applyFont="1" applyFill="1" applyBorder="1" applyAlignment="1">
      <alignment horizontal="left" vertical="center"/>
    </xf>
    <xf numFmtId="165" fontId="10" fillId="2" borderId="3" xfId="3" applyNumberFormat="1" applyFont="1" applyFill="1" applyBorder="1" applyAlignment="1">
      <alignment horizontal="left" vertical="center"/>
    </xf>
    <xf numFmtId="165" fontId="10" fillId="2" borderId="4" xfId="3" applyNumberFormat="1" applyFont="1" applyFill="1" applyBorder="1" applyAlignment="1">
      <alignment horizontal="left" vertical="center"/>
    </xf>
    <xf numFmtId="165" fontId="12" fillId="5" borderId="0" xfId="3" applyNumberFormat="1" applyFont="1" applyFill="1" applyBorder="1" applyAlignment="1">
      <alignment horizontal="left" vertical="center"/>
    </xf>
    <xf numFmtId="165" fontId="3" fillId="5" borderId="9" xfId="3" applyNumberFormat="1" applyFont="1" applyFill="1" applyBorder="1" applyAlignment="1">
      <alignment horizontal="right" vertical="center"/>
    </xf>
    <xf numFmtId="165" fontId="4" fillId="5" borderId="8" xfId="3" applyNumberFormat="1" applyFont="1" applyFill="1" applyBorder="1" applyAlignment="1">
      <alignment horizontal="left" vertical="center"/>
    </xf>
    <xf numFmtId="165" fontId="3" fillId="5" borderId="0" xfId="3" applyNumberFormat="1" applyFont="1" applyFill="1" applyBorder="1" applyAlignment="1">
      <alignment horizontal="left" vertical="center"/>
    </xf>
    <xf numFmtId="164" fontId="4" fillId="5" borderId="9" xfId="1" applyNumberFormat="1" applyFont="1" applyFill="1" applyBorder="1" applyAlignment="1">
      <alignment horizontal="right" vertical="center"/>
    </xf>
    <xf numFmtId="165" fontId="3" fillId="5" borderId="8" xfId="3" applyNumberFormat="1" applyFont="1" applyFill="1" applyBorder="1" applyAlignment="1">
      <alignment horizontal="left" vertical="center"/>
    </xf>
    <xf numFmtId="164" fontId="3" fillId="5" borderId="9" xfId="1" applyNumberFormat="1" applyFont="1" applyFill="1" applyBorder="1" applyAlignment="1">
      <alignment horizontal="right" vertical="center"/>
    </xf>
    <xf numFmtId="165" fontId="4" fillId="5" borderId="9" xfId="3" applyNumberFormat="1" applyFont="1" applyFill="1" applyBorder="1" applyAlignment="1">
      <alignment horizontal="right" vertical="center"/>
    </xf>
    <xf numFmtId="165" fontId="3" fillId="5" borderId="10" xfId="3" applyNumberFormat="1" applyFont="1" applyFill="1" applyBorder="1" applyAlignment="1">
      <alignment horizontal="left" vertical="center"/>
    </xf>
    <xf numFmtId="165" fontId="3" fillId="5" borderId="11" xfId="3" applyNumberFormat="1" applyFont="1" applyFill="1" applyBorder="1" applyAlignment="1">
      <alignment horizontal="left" vertical="center"/>
    </xf>
    <xf numFmtId="164" fontId="3" fillId="5" borderId="12" xfId="1" applyNumberFormat="1" applyFont="1" applyFill="1" applyBorder="1" applyAlignment="1">
      <alignment horizontal="right" vertical="center"/>
    </xf>
    <xf numFmtId="165" fontId="3" fillId="5" borderId="5" xfId="3" applyNumberFormat="1" applyFont="1" applyFill="1" applyBorder="1" applyAlignment="1">
      <alignment horizontal="left" vertical="center"/>
    </xf>
    <xf numFmtId="165" fontId="4" fillId="5" borderId="2" xfId="3" applyNumberFormat="1" applyFont="1" applyFill="1" applyBorder="1" applyAlignment="1">
      <alignment horizontal="left" vertical="center"/>
    </xf>
    <xf numFmtId="164" fontId="4" fillId="5" borderId="4" xfId="1" applyNumberFormat="1" applyFont="1" applyFill="1" applyBorder="1" applyAlignment="1">
      <alignment horizontal="right" vertical="center"/>
    </xf>
    <xf numFmtId="164" fontId="3" fillId="5" borderId="7" xfId="1" applyNumberFormat="1" applyFont="1" applyFill="1" applyBorder="1" applyAlignment="1">
      <alignment horizontal="right" vertical="center"/>
    </xf>
    <xf numFmtId="167" fontId="3" fillId="5" borderId="7" xfId="3" applyNumberFormat="1" applyFont="1" applyFill="1" applyBorder="1" applyAlignment="1">
      <alignment horizontal="right" vertical="center"/>
    </xf>
    <xf numFmtId="165" fontId="4" fillId="5" borderId="19" xfId="3" applyNumberFormat="1" applyFont="1" applyFill="1" applyBorder="1" applyAlignment="1">
      <alignment horizontal="left" vertical="center"/>
    </xf>
    <xf numFmtId="164" fontId="4" fillId="5" borderId="20" xfId="1" applyNumberFormat="1" applyFont="1" applyFill="1" applyBorder="1" applyAlignment="1">
      <alignment horizontal="right" vertical="center"/>
    </xf>
    <xf numFmtId="165" fontId="5" fillId="5" borderId="8" xfId="3" applyNumberFormat="1" applyFont="1" applyFill="1" applyBorder="1" applyAlignment="1">
      <alignment horizontal="left" vertical="center"/>
    </xf>
    <xf numFmtId="165" fontId="12" fillId="5" borderId="6" xfId="3" applyNumberFormat="1" applyFont="1" applyFill="1" applyBorder="1" applyAlignment="1">
      <alignment horizontal="left" vertical="center"/>
    </xf>
    <xf numFmtId="165" fontId="4" fillId="5" borderId="3" xfId="3" applyNumberFormat="1" applyFont="1" applyFill="1" applyBorder="1" applyAlignment="1">
      <alignment horizontal="left" vertical="center"/>
    </xf>
    <xf numFmtId="165" fontId="4" fillId="5" borderId="21" xfId="3" applyNumberFormat="1" applyFont="1" applyFill="1" applyBorder="1" applyAlignment="1">
      <alignment horizontal="left" vertical="center"/>
    </xf>
    <xf numFmtId="167" fontId="4" fillId="5" borderId="9" xfId="3" applyNumberFormat="1" applyFont="1" applyFill="1" applyBorder="1" applyAlignment="1">
      <alignment horizontal="right" vertical="center"/>
    </xf>
    <xf numFmtId="164" fontId="3" fillId="4" borderId="1" xfId="1" applyNumberFormat="1" applyFont="1" applyFill="1" applyBorder="1" applyAlignment="1">
      <alignment horizontal="right" vertical="center" indent="1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1" fillId="3" borderId="2" xfId="2" applyFont="1" applyFill="1" applyBorder="1" applyAlignment="1">
      <alignment horizontal="left"/>
    </xf>
    <xf numFmtId="0" fontId="3" fillId="3" borderId="1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left" vertical="center"/>
    </xf>
    <xf numFmtId="2" fontId="4" fillId="3" borderId="0" xfId="0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0" fillId="2" borderId="12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0" fontId="3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5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0" fontId="3" fillId="0" borderId="1" xfId="1" applyNumberFormat="1" applyFont="1" applyBorder="1" applyAlignment="1">
      <alignment horizontal="right" vertical="center"/>
    </xf>
    <xf numFmtId="10" fontId="3" fillId="0" borderId="13" xfId="1" applyNumberFormat="1" applyFont="1" applyBorder="1" applyAlignment="1">
      <alignment horizontal="right" vertical="center"/>
    </xf>
    <xf numFmtId="10" fontId="3" fillId="0" borderId="1" xfId="0" applyNumberFormat="1" applyFont="1" applyBorder="1" applyAlignment="1">
      <alignment horizontal="right" vertical="center"/>
    </xf>
    <xf numFmtId="10" fontId="3" fillId="7" borderId="1" xfId="1" applyNumberFormat="1" applyFont="1" applyFill="1" applyBorder="1" applyAlignment="1">
      <alignment horizontal="right" vertical="center"/>
    </xf>
    <xf numFmtId="10" fontId="3" fillId="7" borderId="13" xfId="1" applyNumberFormat="1" applyFont="1" applyFill="1" applyBorder="1" applyAlignment="1">
      <alignment horizontal="right" vertical="center"/>
    </xf>
    <xf numFmtId="10" fontId="16" fillId="0" borderId="1" xfId="1" applyNumberFormat="1" applyFont="1" applyBorder="1" applyAlignment="1">
      <alignment horizontal="right" vertical="center"/>
    </xf>
    <xf numFmtId="10" fontId="16" fillId="0" borderId="13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11" fillId="3" borderId="1" xfId="4" applyNumberFormat="1" applyFont="1" applyFill="1" applyBorder="1" applyAlignment="1">
      <alignment horizontal="left" vertical="center"/>
    </xf>
    <xf numFmtId="0" fontId="4" fillId="0" borderId="1" xfId="4" applyNumberFormat="1" applyFont="1" applyFill="1" applyBorder="1" applyAlignment="1">
      <alignment horizontal="right" vertical="center"/>
    </xf>
    <xf numFmtId="0" fontId="11" fillId="3" borderId="1" xfId="4" applyNumberFormat="1" applyFont="1" applyFill="1" applyBorder="1" applyAlignment="1">
      <alignment horizontal="right" vertical="center"/>
    </xf>
    <xf numFmtId="0" fontId="4" fillId="0" borderId="0" xfId="4" applyFont="1" applyAlignment="1">
      <alignment vertical="center"/>
    </xf>
    <xf numFmtId="0" fontId="18" fillId="0" borderId="0" xfId="5" applyFont="1" applyAlignment="1" applyProtection="1">
      <alignment vertical="center"/>
    </xf>
    <xf numFmtId="0" fontId="9" fillId="0" borderId="0" xfId="0" applyFont="1" applyAlignment="1">
      <alignment vertical="center"/>
    </xf>
    <xf numFmtId="165" fontId="3" fillId="0" borderId="5" xfId="3" applyNumberFormat="1" applyFont="1" applyBorder="1" applyAlignment="1">
      <alignment vertical="center"/>
    </xf>
    <xf numFmtId="165" fontId="3" fillId="0" borderId="10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165" fontId="4" fillId="0" borderId="0" xfId="3" applyNumberFormat="1" applyFont="1" applyAlignment="1">
      <alignment vertical="center"/>
    </xf>
    <xf numFmtId="10" fontId="3" fillId="0" borderId="0" xfId="1" applyNumberFormat="1" applyFont="1" applyFill="1" applyAlignment="1">
      <alignment vertical="center"/>
    </xf>
    <xf numFmtId="165" fontId="3" fillId="0" borderId="0" xfId="3" applyNumberFormat="1" applyFont="1" applyFill="1" applyAlignment="1">
      <alignment vertical="center"/>
    </xf>
    <xf numFmtId="1" fontId="10" fillId="2" borderId="0" xfId="0" applyNumberFormat="1" applyFont="1" applyFill="1" applyBorder="1" applyAlignment="1" applyProtection="1">
      <alignment vertical="center"/>
      <protection hidden="1"/>
    </xf>
    <xf numFmtId="1" fontId="3" fillId="0" borderId="8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9" xfId="0" applyNumberFormat="1" applyFont="1" applyFill="1" applyBorder="1" applyAlignment="1">
      <alignment horizontal="right" vertical="center"/>
    </xf>
    <xf numFmtId="1" fontId="3" fillId="0" borderId="8" xfId="0" applyNumberFormat="1" applyFont="1" applyFill="1" applyBorder="1" applyAlignment="1">
      <alignment horizontal="left" vertical="center" indent="1"/>
    </xf>
    <xf numFmtId="1" fontId="4" fillId="0" borderId="19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left" vertical="center"/>
    </xf>
    <xf numFmtId="164" fontId="4" fillId="0" borderId="21" xfId="1" applyNumberFormat="1" applyFont="1" applyFill="1" applyBorder="1" applyAlignment="1">
      <alignment horizontal="right" vertical="center"/>
    </xf>
    <xf numFmtId="164" fontId="4" fillId="0" borderId="20" xfId="1" applyNumberFormat="1" applyFont="1" applyFill="1" applyBorder="1" applyAlignment="1">
      <alignment horizontal="right" vertical="center"/>
    </xf>
    <xf numFmtId="168" fontId="3" fillId="6" borderId="0" xfId="0" applyNumberFormat="1" applyFont="1" applyFill="1" applyBorder="1" applyAlignment="1">
      <alignment horizontal="right" vertical="center"/>
    </xf>
    <xf numFmtId="168" fontId="3" fillId="6" borderId="9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" fontId="21" fillId="2" borderId="0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 applyProtection="1">
      <alignment horizontal="left" vertical="center" wrapText="1"/>
      <protection hidden="1"/>
    </xf>
    <xf numFmtId="14" fontId="11" fillId="0" borderId="3" xfId="0" applyNumberFormat="1" applyFont="1" applyFill="1" applyBorder="1" applyAlignment="1">
      <alignment horizontal="right" vertical="center"/>
    </xf>
    <xf numFmtId="14" fontId="11" fillId="0" borderId="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4" fontId="3" fillId="0" borderId="1" xfId="1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37" fontId="3" fillId="6" borderId="1" xfId="2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vertical="center" wrapText="1"/>
    </xf>
    <xf numFmtId="164" fontId="3" fillId="6" borderId="13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0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0" fontId="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0" fontId="3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8" fillId="0" borderId="0" xfId="5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0" fontId="3" fillId="0" borderId="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10" fontId="3" fillId="0" borderId="13" xfId="0" applyNumberFormat="1" applyFont="1" applyFill="1" applyBorder="1" applyAlignment="1">
      <alignment horizontal="right" vertical="center"/>
    </xf>
    <xf numFmtId="14" fontId="19" fillId="0" borderId="6" xfId="0" applyNumberFormat="1" applyFont="1" applyBorder="1" applyAlignment="1">
      <alignment vertical="center"/>
    </xf>
    <xf numFmtId="164" fontId="16" fillId="0" borderId="18" xfId="1" applyNumberFormat="1" applyFont="1" applyBorder="1" applyAlignment="1">
      <alignment vertical="center"/>
    </xf>
    <xf numFmtId="164" fontId="16" fillId="0" borderId="7" xfId="1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64" fontId="16" fillId="0" borderId="22" xfId="1" applyNumberFormat="1" applyFont="1" applyBorder="1" applyAlignment="1">
      <alignment vertical="center"/>
    </xf>
    <xf numFmtId="164" fontId="16" fillId="0" borderId="16" xfId="1" applyNumberFormat="1" applyFont="1" applyBorder="1" applyAlignment="1">
      <alignment vertical="center"/>
    </xf>
    <xf numFmtId="164" fontId="16" fillId="6" borderId="6" xfId="1" applyNumberFormat="1" applyFont="1" applyFill="1" applyBorder="1" applyAlignment="1">
      <alignment vertical="center"/>
    </xf>
    <xf numFmtId="164" fontId="16" fillId="6" borderId="15" xfId="1" applyNumberFormat="1" applyFont="1" applyFill="1" applyBorder="1" applyAlignment="1">
      <alignment vertical="center"/>
    </xf>
    <xf numFmtId="164" fontId="3" fillId="6" borderId="6" xfId="1" applyNumberFormat="1" applyFont="1" applyFill="1" applyBorder="1" applyAlignment="1">
      <alignment horizontal="right" vertical="center"/>
    </xf>
    <xf numFmtId="164" fontId="3" fillId="6" borderId="15" xfId="1" applyNumberFormat="1" applyFont="1" applyFill="1" applyBorder="1" applyAlignment="1">
      <alignment horizontal="right" vertical="center"/>
    </xf>
    <xf numFmtId="164" fontId="3" fillId="6" borderId="7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10" fontId="3" fillId="0" borderId="5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left" vertical="center"/>
    </xf>
    <xf numFmtId="0" fontId="3" fillId="3" borderId="6" xfId="2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2" fontId="3" fillId="3" borderId="6" xfId="0" applyNumberFormat="1" applyFont="1" applyFill="1" applyBorder="1" applyAlignment="1">
      <alignment horizontal="right" vertical="center"/>
    </xf>
    <xf numFmtId="2" fontId="3" fillId="3" borderId="7" xfId="0" applyNumberFormat="1" applyFont="1" applyFill="1" applyBorder="1" applyAlignment="1">
      <alignment horizontal="right" vertical="center"/>
    </xf>
    <xf numFmtId="0" fontId="3" fillId="3" borderId="14" xfId="2" applyFont="1" applyFill="1" applyBorder="1" applyAlignment="1">
      <alignment horizontal="left" vertical="center"/>
    </xf>
    <xf numFmtId="0" fontId="3" fillId="3" borderId="15" xfId="2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2" fontId="3" fillId="3" borderId="15" xfId="0" applyNumberFormat="1" applyFont="1" applyFill="1" applyBorder="1" applyAlignment="1">
      <alignment horizontal="right" vertical="center"/>
    </xf>
    <xf numFmtId="2" fontId="3" fillId="3" borderId="16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7" xfId="2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2" fontId="3" fillId="6" borderId="1" xfId="2" applyNumberFormat="1" applyFont="1" applyFill="1" applyBorder="1" applyAlignment="1">
      <alignment horizontal="right" vertical="center"/>
    </xf>
    <xf numFmtId="169" fontId="3" fillId="6" borderId="0" xfId="0" applyNumberFormat="1" applyFont="1" applyFill="1" applyBorder="1" applyAlignment="1">
      <alignment horizontal="right" vertical="center"/>
    </xf>
    <xf numFmtId="169" fontId="3" fillId="6" borderId="7" xfId="0" applyNumberFormat="1" applyFont="1" applyFill="1" applyBorder="1" applyAlignment="1">
      <alignment horizontal="right" vertical="center"/>
    </xf>
    <xf numFmtId="169" fontId="3" fillId="6" borderId="9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3" fillId="0" borderId="9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Alignment="1">
      <alignment vertical="center"/>
    </xf>
    <xf numFmtId="43" fontId="4" fillId="5" borderId="9" xfId="19" applyFont="1" applyFill="1" applyBorder="1" applyAlignment="1">
      <alignment horizontal="right" vertical="center"/>
    </xf>
    <xf numFmtId="0" fontId="11" fillId="3" borderId="3" xfId="2" applyFont="1" applyFill="1" applyBorder="1" applyAlignment="1">
      <alignment horizontal="left" wrapText="1"/>
    </xf>
    <xf numFmtId="0" fontId="3" fillId="6" borderId="1" xfId="2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left" vertical="center"/>
    </xf>
    <xf numFmtId="0" fontId="10" fillId="2" borderId="2" xfId="2" applyFont="1" applyFill="1" applyBorder="1" applyAlignment="1">
      <alignment horizontal="left" vertical="center"/>
    </xf>
    <xf numFmtId="0" fontId="10" fillId="2" borderId="3" xfId="2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right" vertical="center"/>
    </xf>
    <xf numFmtId="0" fontId="16" fillId="0" borderId="0" xfId="0" applyFont="1"/>
    <xf numFmtId="0" fontId="27" fillId="0" borderId="0" xfId="0" applyFont="1" applyFill="1"/>
    <xf numFmtId="0" fontId="16" fillId="0" borderId="0" xfId="0" applyFont="1" applyFill="1"/>
    <xf numFmtId="0" fontId="20" fillId="2" borderId="0" xfId="0" applyFont="1" applyFill="1" applyAlignment="1">
      <alignment vertical="center"/>
    </xf>
    <xf numFmtId="0" fontId="4" fillId="0" borderId="0" xfId="0" applyFont="1" applyFill="1"/>
    <xf numFmtId="0" fontId="16" fillId="6" borderId="1" xfId="0" applyFont="1" applyFill="1" applyBorder="1"/>
    <xf numFmtId="9" fontId="28" fillId="0" borderId="0" xfId="0" applyNumberFormat="1" applyFont="1" applyFill="1" applyBorder="1"/>
    <xf numFmtId="10" fontId="16" fillId="0" borderId="1" xfId="0" applyNumberFormat="1" applyFont="1" applyFill="1" applyBorder="1" applyAlignment="1">
      <alignment horizontal="left"/>
    </xf>
    <xf numFmtId="0" fontId="16" fillId="6" borderId="0" xfId="0" applyFont="1" applyFill="1" applyAlignment="1">
      <alignment horizontal="center"/>
    </xf>
    <xf numFmtId="14" fontId="16" fillId="6" borderId="1" xfId="0" applyNumberFormat="1" applyFont="1" applyFill="1" applyBorder="1" applyAlignment="1">
      <alignment horizontal="right"/>
    </xf>
    <xf numFmtId="10" fontId="16" fillId="6" borderId="1" xfId="0" applyNumberFormat="1" applyFont="1" applyFill="1" applyBorder="1" applyAlignment="1">
      <alignment horizontal="left"/>
    </xf>
    <xf numFmtId="0" fontId="16" fillId="6" borderId="1" xfId="0" applyFont="1" applyFill="1" applyBorder="1" applyAlignment="1">
      <alignment horizontal="left"/>
    </xf>
    <xf numFmtId="0" fontId="19" fillId="0" borderId="0" xfId="0" applyFont="1" applyFill="1"/>
    <xf numFmtId="171" fontId="16" fillId="0" borderId="1" xfId="0" applyNumberFormat="1" applyFont="1" applyFill="1" applyBorder="1" applyAlignment="1">
      <alignment horizontal="left"/>
    </xf>
    <xf numFmtId="9" fontId="16" fillId="6" borderId="1" xfId="0" applyNumberFormat="1" applyFont="1" applyFill="1" applyBorder="1"/>
    <xf numFmtId="10" fontId="16" fillId="6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9" fontId="16" fillId="6" borderId="1" xfId="0" applyNumberFormat="1" applyFont="1" applyFill="1" applyBorder="1" applyAlignment="1">
      <alignment horizontal="right"/>
    </xf>
    <xf numFmtId="164" fontId="16" fillId="6" borderId="1" xfId="0" applyNumberFormat="1" applyFont="1" applyFill="1" applyBorder="1"/>
    <xf numFmtId="0" fontId="16" fillId="0" borderId="0" xfId="0" applyFont="1" applyFill="1" applyBorder="1" applyAlignment="1">
      <alignment horizontal="right"/>
    </xf>
    <xf numFmtId="10" fontId="16" fillId="0" borderId="1" xfId="0" applyNumberFormat="1" applyFont="1" applyFill="1" applyBorder="1"/>
    <xf numFmtId="0" fontId="11" fillId="3" borderId="3" xfId="2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166" fontId="11" fillId="3" borderId="2" xfId="3" applyNumberFormat="1" applyFont="1" applyFill="1" applyBorder="1" applyAlignment="1">
      <alignment horizontal="left" vertical="center"/>
    </xf>
    <xf numFmtId="166" fontId="11" fillId="3" borderId="3" xfId="3" applyNumberFormat="1" applyFont="1" applyFill="1" applyBorder="1" applyAlignment="1">
      <alignment horizontal="left" vertical="center"/>
    </xf>
    <xf numFmtId="0" fontId="9" fillId="0" borderId="11" xfId="0" applyFont="1" applyFill="1" applyBorder="1"/>
    <xf numFmtId="0" fontId="9" fillId="0" borderId="11" xfId="3" applyFont="1" applyBorder="1" applyAlignment="1">
      <alignment horizontal="left"/>
    </xf>
    <xf numFmtId="0" fontId="31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18" fillId="0" borderId="0" xfId="5" applyFont="1" applyFill="1"/>
    <xf numFmtId="0" fontId="16" fillId="0" borderId="0" xfId="0" applyFont="1" applyAlignment="1">
      <alignment horizontal="center" vertical="center"/>
    </xf>
    <xf numFmtId="0" fontId="18" fillId="0" borderId="0" xfId="5" applyFont="1" applyAlignment="1">
      <alignment horizontal="right"/>
    </xf>
  </cellXfs>
  <cellStyles count="23">
    <cellStyle name="_x000a_386grabber=M 2 2 2" xfId="4" xr:uid="{00000000-0005-0000-0000-000000000000}"/>
    <cellStyle name="Comma" xfId="19" builtinId="3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Hyperlink" xfId="5" builtinId="8"/>
    <cellStyle name="Normal" xfId="0" builtinId="0"/>
    <cellStyle name="Normal 2" xfId="2" xr:uid="{00000000-0005-0000-0000-00000F000000}"/>
    <cellStyle name="Normal 20 2" xfId="3" xr:uid="{00000000-0005-0000-0000-000010000000}"/>
    <cellStyle name="Normal 3" xfId="6" xr:uid="{00000000-0005-0000-0000-000011000000}"/>
    <cellStyle name="Per cent" xfId="1" builtinId="5"/>
    <cellStyle name="Smart Subtitle 1" xfId="22" xr:uid="{17F42D9A-4012-1743-BCF8-C7A10DF4C8E6}"/>
    <cellStyle name="Smart Subtitle 2" xfId="21" xr:uid="{7742B601-81B6-9E47-9726-D18E24532740}"/>
    <cellStyle name="Smart Title" xfId="20" xr:uid="{0B16D648-E835-C241-A0C9-BE7192553936}"/>
  </cellStyles>
  <dxfs count="30"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747678"/>
      </font>
      <fill>
        <patternFill>
          <bgColor rgb="FF747678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C0E3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127000</xdr:rowOff>
    </xdr:from>
    <xdr:to>
      <xdr:col>2</xdr:col>
      <xdr:colOff>50800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2495C-60D7-D647-B0D4-23127EDED4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152" t="32323" r="15151" b="30303"/>
        <a:stretch/>
      </xdr:blipFill>
      <xdr:spPr>
        <a:xfrm>
          <a:off x="228600" y="127000"/>
          <a:ext cx="876300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pages.stern.nyu.edu/~adamodar/New_Home_Page/datafile/ctryprem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home.kpmg.com/xx/en/home/services/tax/tax-tools-and-resources/tax-rates-online/corporate-tax-rates-table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pages.stern.nyu.edu/~adamodar/New_Home_Page/datafile/ctrypre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9D70-5059-2941-9E27-C700CE735643}">
  <dimension ref="B2:B12"/>
  <sheetViews>
    <sheetView showGridLines="0" tabSelected="1" workbookViewId="0">
      <selection activeCell="C41" sqref="C41"/>
    </sheetView>
  </sheetViews>
  <sheetFormatPr baseColWidth="10" defaultRowHeight="11" x14ac:dyDescent="0.2"/>
  <cols>
    <col min="1" max="1" width="3" style="40" customWidth="1"/>
    <col min="2" max="16384" width="10.83203125" style="40"/>
  </cols>
  <sheetData>
    <row r="2" spans="2:2" ht="20" x14ac:dyDescent="0.2">
      <c r="B2" s="195"/>
    </row>
    <row r="7" spans="2:2" ht="14" x14ac:dyDescent="0.2">
      <c r="B7" s="197" t="s">
        <v>334</v>
      </c>
    </row>
    <row r="11" spans="2:2" x14ac:dyDescent="0.2">
      <c r="B11" s="40" t="s">
        <v>338</v>
      </c>
    </row>
    <row r="12" spans="2:2" x14ac:dyDescent="0.2">
      <c r="B12" s="196" t="s">
        <v>337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E211"/>
  <sheetViews>
    <sheetView showGridLines="0" zoomScale="90" zoomScaleNormal="90" zoomScalePageLayoutView="90" workbookViewId="0"/>
  </sheetViews>
  <sheetFormatPr baseColWidth="10" defaultRowHeight="16" customHeight="1" x14ac:dyDescent="0.2"/>
  <cols>
    <col min="1" max="1" width="3.6640625" style="40" customWidth="1"/>
    <col min="2" max="2" width="27.5" style="40" bestFit="1" customWidth="1"/>
    <col min="3" max="3" width="20.33203125" style="40" bestFit="1" customWidth="1"/>
    <col min="4" max="16384" width="10.83203125" style="40"/>
  </cols>
  <sheetData>
    <row r="1" spans="1:3" s="169" customFormat="1" ht="11" x14ac:dyDescent="0.15">
      <c r="A1" s="198" t="s">
        <v>333</v>
      </c>
    </row>
    <row r="2" spans="1:3" s="169" customFormat="1" ht="11" x14ac:dyDescent="0.15">
      <c r="A2" s="169" t="str">
        <f>Cover!$B$7</f>
        <v>Discount rate estimation</v>
      </c>
    </row>
    <row r="3" spans="1:3" s="193" customFormat="1" x14ac:dyDescent="0.2">
      <c r="A3" s="194" t="str">
        <f ca="1">MID(CELL("filename",A1),FIND("]",CELL("filename",A1))+1,255)</f>
        <v>CRP</v>
      </c>
    </row>
    <row r="5" spans="1:3" ht="16" customHeight="1" x14ac:dyDescent="0.2">
      <c r="B5" s="163" t="s">
        <v>252</v>
      </c>
      <c r="C5" s="42"/>
    </row>
    <row r="6" spans="1:3" ht="16" customHeight="1" x14ac:dyDescent="0.2">
      <c r="B6" s="66" t="s">
        <v>10</v>
      </c>
      <c r="C6" s="67">
        <v>2020</v>
      </c>
    </row>
    <row r="7" spans="1:3" ht="16" customHeight="1" x14ac:dyDescent="0.2">
      <c r="B7" s="43" t="s">
        <v>256</v>
      </c>
      <c r="C7" s="56">
        <v>4.8055028663616358E-3</v>
      </c>
    </row>
    <row r="8" spans="1:3" ht="16" customHeight="1" x14ac:dyDescent="0.2">
      <c r="B8" s="43" t="s">
        <v>64</v>
      </c>
      <c r="C8" s="56">
        <v>4.3599016914808296E-2</v>
      </c>
    </row>
    <row r="9" spans="1:3" ht="16" customHeight="1" x14ac:dyDescent="0.2">
      <c r="B9" s="43" t="s">
        <v>257</v>
      </c>
      <c r="C9" s="56">
        <v>7.2606779671754898E-2</v>
      </c>
    </row>
    <row r="10" spans="1:3" ht="16" customHeight="1" x14ac:dyDescent="0.2">
      <c r="B10" s="43" t="s">
        <v>67</v>
      </c>
      <c r="C10" s="56">
        <v>7.2606779671754898E-2</v>
      </c>
    </row>
    <row r="11" spans="1:3" ht="16" customHeight="1" x14ac:dyDescent="0.2">
      <c r="B11" s="43" t="s">
        <v>70</v>
      </c>
      <c r="C11" s="56">
        <v>0.11620579658656319</v>
      </c>
    </row>
    <row r="12" spans="1:3" ht="16" customHeight="1" x14ac:dyDescent="0.2">
      <c r="B12" s="43" t="s">
        <v>71</v>
      </c>
      <c r="C12" s="56">
        <v>3.4861738975968962E-2</v>
      </c>
    </row>
    <row r="13" spans="1:3" ht="16" customHeight="1" x14ac:dyDescent="0.2">
      <c r="B13" s="43" t="s">
        <v>72</v>
      </c>
      <c r="C13" s="56">
        <v>1.5464981951745628E-2</v>
      </c>
    </row>
    <row r="14" spans="1:3" ht="16" customHeight="1" x14ac:dyDescent="0.2">
      <c r="B14" s="43" t="s">
        <v>73</v>
      </c>
      <c r="C14" s="56">
        <v>0</v>
      </c>
    </row>
    <row r="15" spans="1:3" ht="16" customHeight="1" x14ac:dyDescent="0.2">
      <c r="B15" s="43" t="s">
        <v>74</v>
      </c>
      <c r="C15" s="56">
        <v>3.8444022930893078E-3</v>
      </c>
    </row>
    <row r="16" spans="1:3" ht="16" customHeight="1" x14ac:dyDescent="0.2">
      <c r="B16" s="43" t="s">
        <v>75</v>
      </c>
      <c r="C16" s="56">
        <v>2.9095135536334988E-2</v>
      </c>
    </row>
    <row r="17" spans="2:3" ht="16" customHeight="1" x14ac:dyDescent="0.2">
      <c r="B17" s="43" t="s">
        <v>76</v>
      </c>
      <c r="C17" s="56">
        <v>2.9095135536334988E-2</v>
      </c>
    </row>
    <row r="18" spans="2:3" ht="16" customHeight="1" x14ac:dyDescent="0.2">
      <c r="B18" s="43" t="s">
        <v>77</v>
      </c>
      <c r="C18" s="56">
        <v>5.3297395426919955E-2</v>
      </c>
    </row>
    <row r="19" spans="2:3" ht="16" customHeight="1" x14ac:dyDescent="0.2">
      <c r="B19" s="43" t="s">
        <v>78</v>
      </c>
      <c r="C19" s="56">
        <v>3.4861738975968962E-2</v>
      </c>
    </row>
    <row r="20" spans="2:3" ht="16" customHeight="1" x14ac:dyDescent="0.2">
      <c r="B20" s="43" t="s">
        <v>79</v>
      </c>
      <c r="C20" s="56">
        <v>7.2606779671754898E-2</v>
      </c>
    </row>
    <row r="21" spans="2:3" ht="16" customHeight="1" x14ac:dyDescent="0.2">
      <c r="B21" s="43" t="s">
        <v>80</v>
      </c>
      <c r="C21" s="56">
        <v>6.2995773939031607E-2</v>
      </c>
    </row>
    <row r="22" spans="2:3" ht="16" customHeight="1" x14ac:dyDescent="0.2">
      <c r="B22" s="43" t="s">
        <v>81</v>
      </c>
      <c r="C22" s="56">
        <v>5.8539762190223561E-3</v>
      </c>
    </row>
    <row r="23" spans="2:3" ht="16" customHeight="1" x14ac:dyDescent="0.2">
      <c r="B23" s="43" t="s">
        <v>258</v>
      </c>
      <c r="C23" s="56">
        <v>9.6809039562339869E-2</v>
      </c>
    </row>
    <row r="24" spans="2:3" ht="16" customHeight="1" x14ac:dyDescent="0.2">
      <c r="B24" s="43" t="s">
        <v>82</v>
      </c>
      <c r="C24" s="56">
        <v>5.3297395426919955E-2</v>
      </c>
    </row>
    <row r="25" spans="2:3" ht="16" customHeight="1" x14ac:dyDescent="0.2">
      <c r="B25" s="43" t="s">
        <v>83</v>
      </c>
      <c r="C25" s="56">
        <v>8.2130412625089771E-3</v>
      </c>
    </row>
    <row r="26" spans="2:3" ht="16" customHeight="1" x14ac:dyDescent="0.2">
      <c r="B26" s="43" t="s">
        <v>84</v>
      </c>
      <c r="C26" s="56">
        <v>5.3297395426919955E-2</v>
      </c>
    </row>
    <row r="27" spans="2:3" ht="16" customHeight="1" x14ac:dyDescent="0.2">
      <c r="B27" s="43" t="s">
        <v>86</v>
      </c>
      <c r="C27" s="56">
        <v>6.2995773939031607E-2</v>
      </c>
    </row>
    <row r="28" spans="2:3" ht="16" customHeight="1" x14ac:dyDescent="0.2">
      <c r="B28" s="43" t="s">
        <v>87</v>
      </c>
      <c r="C28" s="56">
        <v>8.2130412625089771E-3</v>
      </c>
    </row>
    <row r="29" spans="2:3" ht="16" customHeight="1" x14ac:dyDescent="0.2">
      <c r="B29" s="43" t="s">
        <v>88</v>
      </c>
      <c r="C29" s="56">
        <v>2.9095135536334988E-2</v>
      </c>
    </row>
    <row r="30" spans="2:3" ht="16" customHeight="1" x14ac:dyDescent="0.2">
      <c r="B30" s="43" t="s">
        <v>90</v>
      </c>
      <c r="C30" s="56">
        <v>1.5464981951745628E-2</v>
      </c>
    </row>
    <row r="31" spans="2:3" ht="16" customHeight="1" x14ac:dyDescent="0.2">
      <c r="B31" s="43" t="s">
        <v>91</v>
      </c>
      <c r="C31" s="56">
        <v>5.3297395426919955E-2</v>
      </c>
    </row>
    <row r="32" spans="2:3" ht="16" customHeight="1" x14ac:dyDescent="0.2">
      <c r="B32" s="43" t="s">
        <v>93</v>
      </c>
      <c r="C32" s="56">
        <v>5.3297395426919955E-2</v>
      </c>
    </row>
    <row r="33" spans="2:3" ht="16" customHeight="1" x14ac:dyDescent="0.2">
      <c r="B33" s="43" t="s">
        <v>94</v>
      </c>
      <c r="C33" s="56">
        <v>5.3297395426919955E-2</v>
      </c>
    </row>
    <row r="34" spans="2:3" ht="16" customHeight="1" x14ac:dyDescent="0.2">
      <c r="B34" s="43" t="s">
        <v>95</v>
      </c>
      <c r="C34" s="56">
        <v>0</v>
      </c>
    </row>
    <row r="35" spans="2:3" ht="16" customHeight="1" x14ac:dyDescent="0.2">
      <c r="B35" s="43" t="s">
        <v>259</v>
      </c>
      <c r="C35" s="56">
        <v>5.3297395426919955E-2</v>
      </c>
    </row>
    <row r="36" spans="2:3" ht="16" customHeight="1" x14ac:dyDescent="0.2">
      <c r="B36" s="43" t="s">
        <v>96</v>
      </c>
      <c r="C36" s="56">
        <v>5.8539762190223561E-3</v>
      </c>
    </row>
    <row r="37" spans="2:3" ht="16" customHeight="1" x14ac:dyDescent="0.2">
      <c r="B37" s="43" t="s">
        <v>97</v>
      </c>
      <c r="C37" s="56">
        <v>6.8150767922946836E-3</v>
      </c>
    </row>
    <row r="38" spans="2:3" ht="16" customHeight="1" x14ac:dyDescent="0.2">
      <c r="B38" s="43" t="s">
        <v>98</v>
      </c>
      <c r="C38" s="56">
        <v>6.8150767922946836E-3</v>
      </c>
    </row>
    <row r="39" spans="2:3" ht="16" customHeight="1" x14ac:dyDescent="0.2">
      <c r="B39" s="43" t="s">
        <v>99</v>
      </c>
      <c r="C39" s="56">
        <v>1.8435656450951004E-2</v>
      </c>
    </row>
    <row r="40" spans="2:3" ht="16" customHeight="1" x14ac:dyDescent="0.2">
      <c r="B40" s="43" t="s">
        <v>260</v>
      </c>
      <c r="C40" s="56">
        <v>7.2606779671754898E-2</v>
      </c>
    </row>
    <row r="41" spans="2:3" ht="16" customHeight="1" x14ac:dyDescent="0.2">
      <c r="B41" s="43" t="s">
        <v>261</v>
      </c>
      <c r="C41" s="56">
        <v>8.7198033829616592E-2</v>
      </c>
    </row>
    <row r="42" spans="2:3" ht="16" customHeight="1" x14ac:dyDescent="0.2">
      <c r="B42" s="43" t="s">
        <v>262</v>
      </c>
      <c r="C42" s="56">
        <v>4.3599016914808296E-2</v>
      </c>
    </row>
    <row r="43" spans="2:3" ht="16" customHeight="1" x14ac:dyDescent="0.2">
      <c r="B43" s="43" t="s">
        <v>101</v>
      </c>
      <c r="C43" s="56">
        <v>5.3297395426919955E-2</v>
      </c>
    </row>
    <row r="44" spans="2:3" ht="16" customHeight="1" x14ac:dyDescent="0.2">
      <c r="B44" s="43" t="s">
        <v>263</v>
      </c>
      <c r="C44" s="56">
        <v>3.4861738975968962E-2</v>
      </c>
    </row>
    <row r="45" spans="2:3" ht="16" customHeight="1" x14ac:dyDescent="0.2">
      <c r="B45" s="43" t="s">
        <v>102</v>
      </c>
      <c r="C45" s="56">
        <v>2.4202259890584967E-2</v>
      </c>
    </row>
    <row r="46" spans="2:3" ht="16" customHeight="1" x14ac:dyDescent="0.2">
      <c r="B46" s="43" t="s">
        <v>264</v>
      </c>
      <c r="C46" s="56">
        <v>8.7198033829616592E-2</v>
      </c>
    </row>
    <row r="47" spans="2:3" ht="16" customHeight="1" x14ac:dyDescent="0.2">
      <c r="B47" s="43" t="s">
        <v>103</v>
      </c>
      <c r="C47" s="56">
        <v>1.1620579658656319E-2</v>
      </c>
    </row>
    <row r="48" spans="2:3" ht="16" customHeight="1" x14ac:dyDescent="0.2">
      <c r="B48" s="43" t="s">
        <v>104</v>
      </c>
      <c r="C48" s="56">
        <v>2.9095135536334988E-2</v>
      </c>
    </row>
    <row r="49" spans="2:3" ht="16" customHeight="1" x14ac:dyDescent="0.2">
      <c r="B49" s="43" t="s">
        <v>105</v>
      </c>
      <c r="C49" s="56">
        <v>5.8539762190223561E-3</v>
      </c>
    </row>
    <row r="50" spans="2:3" ht="16" customHeight="1" x14ac:dyDescent="0.2">
      <c r="B50" s="43" t="s">
        <v>106</v>
      </c>
      <c r="C50" s="56">
        <v>0</v>
      </c>
    </row>
    <row r="51" spans="2:3" ht="16" customHeight="1" x14ac:dyDescent="0.2">
      <c r="B51" s="43" t="s">
        <v>109</v>
      </c>
      <c r="C51" s="56">
        <v>3.4861738975968962E-2</v>
      </c>
    </row>
    <row r="52" spans="2:3" ht="16" customHeight="1" x14ac:dyDescent="0.2">
      <c r="B52" s="43" t="s">
        <v>110</v>
      </c>
      <c r="C52" s="56">
        <v>9.6809039562339869E-2</v>
      </c>
    </row>
    <row r="53" spans="2:3" ht="16" customHeight="1" x14ac:dyDescent="0.2">
      <c r="B53" s="43" t="s">
        <v>111</v>
      </c>
      <c r="C53" s="56">
        <v>5.3297395426919955E-2</v>
      </c>
    </row>
    <row r="54" spans="2:3" ht="16" customHeight="1" x14ac:dyDescent="0.2">
      <c r="B54" s="43" t="s">
        <v>112</v>
      </c>
      <c r="C54" s="56">
        <v>6.2995773939031607E-2</v>
      </c>
    </row>
    <row r="55" spans="2:3" ht="16" customHeight="1" x14ac:dyDescent="0.2">
      <c r="B55" s="43" t="s">
        <v>113</v>
      </c>
      <c r="C55" s="56">
        <v>6.8150767922946836E-3</v>
      </c>
    </row>
    <row r="56" spans="2:3" ht="16" customHeight="1" x14ac:dyDescent="0.2">
      <c r="B56" s="43" t="s">
        <v>114</v>
      </c>
      <c r="C56" s="56">
        <v>5.3297395426919955E-2</v>
      </c>
    </row>
    <row r="57" spans="2:3" ht="16" customHeight="1" x14ac:dyDescent="0.2">
      <c r="B57" s="43" t="s">
        <v>115</v>
      </c>
      <c r="C57" s="56">
        <v>3.4861738975968962E-2</v>
      </c>
    </row>
    <row r="58" spans="2:3" ht="16" customHeight="1" x14ac:dyDescent="0.2">
      <c r="B58" s="43" t="s">
        <v>116</v>
      </c>
      <c r="C58" s="56">
        <v>3.8444022930893078E-3</v>
      </c>
    </row>
    <row r="59" spans="2:3" ht="16" customHeight="1" x14ac:dyDescent="0.2">
      <c r="B59" s="43" t="s">
        <v>117</v>
      </c>
      <c r="C59" s="56">
        <v>4.8055028663616358E-3</v>
      </c>
    </row>
    <row r="60" spans="2:3" ht="16" customHeight="1" x14ac:dyDescent="0.2">
      <c r="B60" s="43" t="s">
        <v>118</v>
      </c>
      <c r="C60" s="56">
        <v>7.2606779671754898E-2</v>
      </c>
    </row>
    <row r="61" spans="2:3" ht="16" customHeight="1" x14ac:dyDescent="0.2">
      <c r="B61" s="43" t="s">
        <v>120</v>
      </c>
      <c r="C61" s="56">
        <v>2.9095135536334988E-2</v>
      </c>
    </row>
    <row r="62" spans="2:3" ht="16" customHeight="1" x14ac:dyDescent="0.2">
      <c r="B62" s="43" t="s">
        <v>121</v>
      </c>
      <c r="C62" s="56">
        <v>0</v>
      </c>
    </row>
    <row r="63" spans="2:3" ht="16" customHeight="1" x14ac:dyDescent="0.2">
      <c r="B63" s="43" t="s">
        <v>122</v>
      </c>
      <c r="C63" s="56">
        <v>6.2995773939031607E-2</v>
      </c>
    </row>
    <row r="64" spans="2:3" ht="16" customHeight="1" x14ac:dyDescent="0.2">
      <c r="B64" s="43" t="s">
        <v>124</v>
      </c>
      <c r="C64" s="56">
        <v>3.4861738975968962E-2</v>
      </c>
    </row>
    <row r="65" spans="2:3" ht="16" customHeight="1" x14ac:dyDescent="0.2">
      <c r="B65" s="43" t="s">
        <v>126</v>
      </c>
      <c r="C65" s="56">
        <v>2.4202259890584967E-2</v>
      </c>
    </row>
    <row r="66" spans="2:3" ht="16" customHeight="1" x14ac:dyDescent="0.2">
      <c r="B66" s="43" t="s">
        <v>265</v>
      </c>
      <c r="C66" s="56">
        <v>0</v>
      </c>
    </row>
    <row r="67" spans="2:3" ht="16" customHeight="1" x14ac:dyDescent="0.2">
      <c r="B67" s="43" t="s">
        <v>128</v>
      </c>
      <c r="C67" s="56">
        <v>4.3599016914808296E-2</v>
      </c>
    </row>
    <row r="68" spans="2:3" ht="16" customHeight="1" x14ac:dyDescent="0.2">
      <c r="B68" s="43" t="s">
        <v>129</v>
      </c>
      <c r="C68" s="56">
        <v>5.8539762190223561E-3</v>
      </c>
    </row>
    <row r="69" spans="2:3" ht="16" customHeight="1" x14ac:dyDescent="0.2">
      <c r="B69" s="43" t="s">
        <v>130</v>
      </c>
      <c r="C69" s="56">
        <v>2.1318958170767986E-2</v>
      </c>
    </row>
    <row r="70" spans="2:3" ht="16" customHeight="1" x14ac:dyDescent="0.2">
      <c r="B70" s="43" t="s">
        <v>131</v>
      </c>
      <c r="C70" s="56">
        <v>8.2130412625089771E-3</v>
      </c>
    </row>
    <row r="71" spans="2:3" ht="16" customHeight="1" x14ac:dyDescent="0.2">
      <c r="B71" s="43" t="s">
        <v>132</v>
      </c>
      <c r="C71" s="56">
        <v>2.1318958170767986E-2</v>
      </c>
    </row>
    <row r="72" spans="2:3" ht="16" customHeight="1" x14ac:dyDescent="0.2">
      <c r="B72" s="43" t="s">
        <v>133</v>
      </c>
      <c r="C72" s="56">
        <v>1.8435656450951004E-2</v>
      </c>
    </row>
    <row r="73" spans="2:3" ht="16" customHeight="1" x14ac:dyDescent="0.2">
      <c r="B73" s="43" t="s">
        <v>134</v>
      </c>
      <c r="C73" s="56">
        <v>7.2606779671754898E-2</v>
      </c>
    </row>
    <row r="74" spans="2:3" ht="16" customHeight="1" x14ac:dyDescent="0.2">
      <c r="B74" s="43" t="s">
        <v>135</v>
      </c>
      <c r="C74" s="56">
        <v>8.2130412625089771E-3</v>
      </c>
    </row>
    <row r="75" spans="2:3" ht="16" customHeight="1" x14ac:dyDescent="0.2">
      <c r="B75" s="43" t="s">
        <v>136</v>
      </c>
      <c r="C75" s="56">
        <v>5.8539762190223561E-3</v>
      </c>
    </row>
    <row r="76" spans="2:3" ht="16" customHeight="1" x14ac:dyDescent="0.2">
      <c r="B76" s="43" t="s">
        <v>137</v>
      </c>
      <c r="C76" s="56">
        <v>6.8150767922946836E-3</v>
      </c>
    </row>
    <row r="77" spans="2:3" ht="16" customHeight="1" x14ac:dyDescent="0.2">
      <c r="B77" s="43" t="s">
        <v>138</v>
      </c>
      <c r="C77" s="56">
        <v>2.1318958170767986E-2</v>
      </c>
    </row>
    <row r="78" spans="2:3" ht="16" customHeight="1" x14ac:dyDescent="0.2">
      <c r="B78" s="43" t="s">
        <v>140</v>
      </c>
      <c r="C78" s="56">
        <v>5.3297395426919955E-2</v>
      </c>
    </row>
    <row r="79" spans="2:3" ht="16" customHeight="1" x14ac:dyDescent="0.2">
      <c r="B79" s="43" t="s">
        <v>141</v>
      </c>
      <c r="C79" s="56">
        <v>6.8150767922946836E-3</v>
      </c>
    </row>
    <row r="80" spans="2:3" ht="16" customHeight="1" x14ac:dyDescent="0.2">
      <c r="B80" s="43" t="s">
        <v>266</v>
      </c>
      <c r="C80" s="56">
        <v>0</v>
      </c>
    </row>
    <row r="81" spans="2:3" ht="16" customHeight="1" x14ac:dyDescent="0.2">
      <c r="B81" s="43" t="s">
        <v>143</v>
      </c>
      <c r="C81" s="56">
        <v>4.3599016914808296E-2</v>
      </c>
    </row>
    <row r="82" spans="2:3" ht="16" customHeight="1" x14ac:dyDescent="0.2">
      <c r="B82" s="43" t="s">
        <v>144</v>
      </c>
      <c r="C82" s="56">
        <v>2.1318958170767986E-2</v>
      </c>
    </row>
    <row r="83" spans="2:3" ht="16" customHeight="1" x14ac:dyDescent="0.2">
      <c r="B83" s="43" t="s">
        <v>145</v>
      </c>
      <c r="C83" s="56">
        <v>5.3297395426919955E-2</v>
      </c>
    </row>
    <row r="84" spans="2:3" ht="16" customHeight="1" x14ac:dyDescent="0.2">
      <c r="B84" s="43" t="s">
        <v>267</v>
      </c>
      <c r="C84" s="56">
        <v>4.8055028663616358E-3</v>
      </c>
    </row>
    <row r="85" spans="2:3" ht="16" customHeight="1" x14ac:dyDescent="0.2">
      <c r="B85" s="43" t="s">
        <v>146</v>
      </c>
      <c r="C85" s="56">
        <v>6.8150767922946836E-3</v>
      </c>
    </row>
    <row r="86" spans="2:3" ht="16" customHeight="1" x14ac:dyDescent="0.2">
      <c r="B86" s="43" t="s">
        <v>147</v>
      </c>
      <c r="C86" s="56">
        <v>5.3297395426919955E-2</v>
      </c>
    </row>
    <row r="87" spans="2:3" ht="16" customHeight="1" x14ac:dyDescent="0.2">
      <c r="B87" s="43" t="s">
        <v>268</v>
      </c>
      <c r="C87" s="56">
        <v>8.7198033829616592E-2</v>
      </c>
    </row>
    <row r="88" spans="2:3" ht="16" customHeight="1" x14ac:dyDescent="0.2">
      <c r="B88" s="43" t="s">
        <v>148</v>
      </c>
      <c r="C88" s="56">
        <v>1.1620579658656319E-2</v>
      </c>
    </row>
    <row r="89" spans="2:3" ht="16" customHeight="1" x14ac:dyDescent="0.2">
      <c r="B89" s="43" t="s">
        <v>149</v>
      </c>
      <c r="C89" s="56">
        <v>0.19178657542527283</v>
      </c>
    </row>
    <row r="90" spans="2:3" ht="16" customHeight="1" x14ac:dyDescent="0.2">
      <c r="B90" s="43" t="s">
        <v>151</v>
      </c>
      <c r="C90" s="56">
        <v>0</v>
      </c>
    </row>
    <row r="91" spans="2:3" ht="16" customHeight="1" x14ac:dyDescent="0.2">
      <c r="B91" s="43" t="s">
        <v>152</v>
      </c>
      <c r="C91" s="56">
        <v>1.1620579658656319E-2</v>
      </c>
    </row>
    <row r="92" spans="2:3" ht="16" customHeight="1" x14ac:dyDescent="0.2">
      <c r="B92" s="43" t="s">
        <v>153</v>
      </c>
      <c r="C92" s="56">
        <v>0</v>
      </c>
    </row>
    <row r="93" spans="2:3" ht="16" customHeight="1" x14ac:dyDescent="0.2">
      <c r="B93" s="43" t="s">
        <v>269</v>
      </c>
      <c r="C93" s="56">
        <v>5.8539762190223561E-3</v>
      </c>
    </row>
    <row r="94" spans="2:3" ht="16" customHeight="1" x14ac:dyDescent="0.2">
      <c r="B94" s="43" t="s">
        <v>155</v>
      </c>
      <c r="C94" s="56">
        <v>3.4861738975968962E-2</v>
      </c>
    </row>
    <row r="95" spans="2:3" ht="16" customHeight="1" x14ac:dyDescent="0.2">
      <c r="B95" s="43" t="s">
        <v>158</v>
      </c>
      <c r="C95" s="56">
        <v>1.1620579658656319E-2</v>
      </c>
    </row>
    <row r="96" spans="2:3" ht="16" customHeight="1" x14ac:dyDescent="0.2">
      <c r="B96" s="43" t="s">
        <v>270</v>
      </c>
      <c r="C96" s="56">
        <v>6.2995773939031607E-2</v>
      </c>
    </row>
    <row r="97" spans="2:3" ht="16" customHeight="1" x14ac:dyDescent="0.2">
      <c r="B97" s="43" t="s">
        <v>271</v>
      </c>
      <c r="C97" s="56">
        <v>7.2606779671754898E-2</v>
      </c>
    </row>
    <row r="98" spans="2:3" ht="16" customHeight="1" x14ac:dyDescent="0.2">
      <c r="B98" s="43" t="s">
        <v>159</v>
      </c>
      <c r="C98" s="56">
        <v>8.2130412625089771E-3</v>
      </c>
    </row>
    <row r="99" spans="2:3" ht="16" customHeight="1" x14ac:dyDescent="0.2">
      <c r="B99" s="43" t="s">
        <v>160</v>
      </c>
      <c r="C99" s="56">
        <v>1.5464981951745628E-2</v>
      </c>
    </row>
    <row r="100" spans="2:3" ht="16" customHeight="1" x14ac:dyDescent="0.2">
      <c r="B100" s="43" t="s">
        <v>161</v>
      </c>
      <c r="C100" s="56">
        <v>1.5464981951745628E-2</v>
      </c>
    </row>
    <row r="101" spans="2:3" ht="16" customHeight="1" x14ac:dyDescent="0.2">
      <c r="B101" s="43" t="s">
        <v>162</v>
      </c>
      <c r="C101" s="56">
        <v>6.2995773939031607E-2</v>
      </c>
    </row>
    <row r="102" spans="2:3" ht="16" customHeight="1" x14ac:dyDescent="0.2">
      <c r="B102" s="43" t="s">
        <v>164</v>
      </c>
      <c r="C102" s="56">
        <v>6.2995773939031607E-2</v>
      </c>
    </row>
    <row r="103" spans="2:3" ht="16" customHeight="1" x14ac:dyDescent="0.2">
      <c r="B103" s="43" t="s">
        <v>165</v>
      </c>
      <c r="C103" s="56">
        <v>4.3599016914808296E-2</v>
      </c>
    </row>
    <row r="104" spans="2:3" ht="16" customHeight="1" x14ac:dyDescent="0.2">
      <c r="B104" s="43" t="s">
        <v>272</v>
      </c>
      <c r="C104" s="56">
        <v>2.1318958170767986E-2</v>
      </c>
    </row>
    <row r="105" spans="2:3" ht="16" customHeight="1" x14ac:dyDescent="0.2">
      <c r="B105" s="43" t="s">
        <v>166</v>
      </c>
      <c r="C105" s="56">
        <v>2.4202259890584967E-2</v>
      </c>
    </row>
    <row r="106" spans="2:3" ht="16" customHeight="1" x14ac:dyDescent="0.2">
      <c r="B106" s="43" t="s">
        <v>167</v>
      </c>
      <c r="C106" s="56">
        <v>8.7198033829616592E-2</v>
      </c>
    </row>
    <row r="107" spans="2:3" ht="16" customHeight="1" x14ac:dyDescent="0.2">
      <c r="B107" s="43" t="s">
        <v>169</v>
      </c>
      <c r="C107" s="56">
        <v>3.4861738975968962E-2</v>
      </c>
    </row>
    <row r="108" spans="2:3" ht="16" customHeight="1" x14ac:dyDescent="0.2">
      <c r="B108" s="43" t="s">
        <v>170</v>
      </c>
      <c r="C108" s="56">
        <v>0</v>
      </c>
    </row>
    <row r="109" spans="2:3" ht="16" customHeight="1" x14ac:dyDescent="0.2">
      <c r="B109" s="43" t="s">
        <v>171</v>
      </c>
      <c r="C109" s="56">
        <v>0</v>
      </c>
    </row>
    <row r="110" spans="2:3" ht="16" customHeight="1" x14ac:dyDescent="0.2">
      <c r="B110" s="43" t="s">
        <v>172</v>
      </c>
      <c r="C110" s="56">
        <v>6.2995773939031607E-2</v>
      </c>
    </row>
    <row r="111" spans="2:3" ht="16" customHeight="1" x14ac:dyDescent="0.2">
      <c r="B111" s="43" t="s">
        <v>273</v>
      </c>
      <c r="C111" s="56">
        <v>6.2995773939031607E-2</v>
      </c>
    </row>
    <row r="112" spans="2:3" ht="16" customHeight="1" x14ac:dyDescent="0.2">
      <c r="B112" s="43" t="s">
        <v>173</v>
      </c>
      <c r="C112" s="56">
        <v>5.3297395426919955E-2</v>
      </c>
    </row>
    <row r="113" spans="2:3" ht="16" customHeight="1" x14ac:dyDescent="0.2">
      <c r="B113" s="43" t="s">
        <v>174</v>
      </c>
      <c r="C113" s="56">
        <v>0</v>
      </c>
    </row>
    <row r="114" spans="2:3" ht="16" customHeight="1" x14ac:dyDescent="0.2">
      <c r="B114" s="43" t="s">
        <v>175</v>
      </c>
      <c r="C114" s="56">
        <v>3.4861738975968962E-2</v>
      </c>
    </row>
    <row r="115" spans="2:3" ht="16" customHeight="1" x14ac:dyDescent="0.2">
      <c r="B115" s="43" t="s">
        <v>176</v>
      </c>
      <c r="C115" s="56">
        <v>6.2995773939031607E-2</v>
      </c>
    </row>
    <row r="116" spans="2:3" ht="16" customHeight="1" x14ac:dyDescent="0.2">
      <c r="B116" s="43" t="s">
        <v>178</v>
      </c>
      <c r="C116" s="56">
        <v>1.5464981951745628E-2</v>
      </c>
    </row>
    <row r="117" spans="2:3" ht="16" customHeight="1" x14ac:dyDescent="0.2">
      <c r="B117" s="43" t="s">
        <v>179</v>
      </c>
      <c r="C117" s="56">
        <v>5.3297395426919955E-2</v>
      </c>
    </row>
    <row r="118" spans="2:3" ht="16" customHeight="1" x14ac:dyDescent="0.2">
      <c r="B118" s="43" t="s">
        <v>180</v>
      </c>
      <c r="C118" s="56">
        <v>2.4202259890584967E-2</v>
      </c>
    </row>
    <row r="119" spans="2:3" ht="16" customHeight="1" x14ac:dyDescent="0.2">
      <c r="B119" s="43" t="s">
        <v>181</v>
      </c>
      <c r="C119" s="56">
        <v>1.1620579658656319E-2</v>
      </c>
    </row>
    <row r="120" spans="2:3" ht="16" customHeight="1" x14ac:dyDescent="0.2">
      <c r="B120" s="43" t="s">
        <v>182</v>
      </c>
      <c r="C120" s="56">
        <v>1.8435656450951004E-2</v>
      </c>
    </row>
    <row r="121" spans="2:3" ht="16" customHeight="1" x14ac:dyDescent="0.2">
      <c r="B121" s="43" t="s">
        <v>183</v>
      </c>
      <c r="C121" s="56">
        <v>8.2130412625089771E-3</v>
      </c>
    </row>
    <row r="122" spans="2:3" ht="16" customHeight="1" x14ac:dyDescent="0.2">
      <c r="B122" s="43" t="s">
        <v>184</v>
      </c>
      <c r="C122" s="56">
        <v>2.1318958170767986E-2</v>
      </c>
    </row>
    <row r="123" spans="2:3" ht="16" customHeight="1" x14ac:dyDescent="0.2">
      <c r="B123" s="43" t="s">
        <v>185</v>
      </c>
      <c r="C123" s="56">
        <v>5.8539762190223561E-3</v>
      </c>
    </row>
    <row r="124" spans="2:3" ht="16" customHeight="1" x14ac:dyDescent="0.2">
      <c r="B124" s="43" t="s">
        <v>274</v>
      </c>
      <c r="C124" s="56">
        <v>0</v>
      </c>
    </row>
    <row r="125" spans="2:3" ht="16" customHeight="1" x14ac:dyDescent="0.2">
      <c r="B125" s="43" t="s">
        <v>186</v>
      </c>
      <c r="C125" s="56">
        <v>2.1318958170767986E-2</v>
      </c>
    </row>
    <row r="126" spans="2:3" ht="16" customHeight="1" x14ac:dyDescent="0.2">
      <c r="B126" s="43" t="s">
        <v>187</v>
      </c>
      <c r="C126" s="56">
        <v>2.1318958170767986E-2</v>
      </c>
    </row>
    <row r="127" spans="2:3" ht="16" customHeight="1" x14ac:dyDescent="0.2">
      <c r="B127" s="43" t="s">
        <v>188</v>
      </c>
      <c r="C127" s="56">
        <v>5.3297395426919955E-2</v>
      </c>
    </row>
    <row r="128" spans="2:3" ht="16" customHeight="1" x14ac:dyDescent="0.2">
      <c r="B128" s="43" t="s">
        <v>193</v>
      </c>
      <c r="C128" s="56">
        <v>6.8150767922946836E-3</v>
      </c>
    </row>
    <row r="129" spans="2:3" ht="16" customHeight="1" x14ac:dyDescent="0.2">
      <c r="B129" s="43" t="s">
        <v>194</v>
      </c>
      <c r="C129" s="56">
        <v>3.4861738975968962E-2</v>
      </c>
    </row>
    <row r="130" spans="2:3" ht="16" customHeight="1" x14ac:dyDescent="0.2">
      <c r="B130" s="43" t="s">
        <v>195</v>
      </c>
      <c r="C130" s="56">
        <v>3.4861738975968962E-2</v>
      </c>
    </row>
    <row r="131" spans="2:3" ht="16" customHeight="1" x14ac:dyDescent="0.2">
      <c r="B131" s="43" t="s">
        <v>275</v>
      </c>
      <c r="C131" s="56">
        <v>1.8435656450951004E-2</v>
      </c>
    </row>
    <row r="132" spans="2:3" ht="16" customHeight="1" x14ac:dyDescent="0.2">
      <c r="B132" s="43" t="s">
        <v>197</v>
      </c>
      <c r="C132" s="56">
        <v>0</v>
      </c>
    </row>
    <row r="133" spans="2:3" ht="16" customHeight="1" x14ac:dyDescent="0.2">
      <c r="B133" s="43" t="s">
        <v>199</v>
      </c>
      <c r="C133" s="56">
        <v>8.2130412625089771E-3</v>
      </c>
    </row>
    <row r="134" spans="2:3" ht="16" customHeight="1" x14ac:dyDescent="0.2">
      <c r="B134" s="43" t="s">
        <v>200</v>
      </c>
      <c r="C134" s="56">
        <v>1.1620579658656319E-2</v>
      </c>
    </row>
    <row r="135" spans="2:3" ht="16" customHeight="1" x14ac:dyDescent="0.2">
      <c r="B135" s="43" t="s">
        <v>201</v>
      </c>
      <c r="C135" s="56">
        <v>6.2995773939031607E-2</v>
      </c>
    </row>
    <row r="136" spans="2:3" ht="16" customHeight="1" x14ac:dyDescent="0.2">
      <c r="B136" s="43" t="s">
        <v>202</v>
      </c>
      <c r="C136" s="56">
        <v>2.9095135536334988E-2</v>
      </c>
    </row>
    <row r="137" spans="2:3" ht="16" customHeight="1" x14ac:dyDescent="0.2">
      <c r="B137" s="43" t="s">
        <v>204</v>
      </c>
      <c r="C137" s="56">
        <v>1.5464981951745628E-2</v>
      </c>
    </row>
    <row r="138" spans="2:3" ht="16" customHeight="1" x14ac:dyDescent="0.2">
      <c r="B138" s="43" t="s">
        <v>205</v>
      </c>
      <c r="C138" s="56">
        <v>7.2606779671754898E-2</v>
      </c>
    </row>
    <row r="139" spans="2:3" ht="16" customHeight="1" x14ac:dyDescent="0.2">
      <c r="B139" s="43" t="s">
        <v>276</v>
      </c>
      <c r="C139" s="56">
        <v>2.1318958170767986E-2</v>
      </c>
    </row>
    <row r="140" spans="2:3" ht="16" customHeight="1" x14ac:dyDescent="0.2">
      <c r="B140" s="43" t="s">
        <v>277</v>
      </c>
      <c r="C140" s="56">
        <v>6.2995773939031607E-2</v>
      </c>
    </row>
    <row r="141" spans="2:3" ht="16" customHeight="1" x14ac:dyDescent="0.2">
      <c r="B141" s="43" t="s">
        <v>208</v>
      </c>
      <c r="C141" s="56">
        <v>9.6809039562339869E-2</v>
      </c>
    </row>
    <row r="142" spans="2:3" ht="16" customHeight="1" x14ac:dyDescent="0.2">
      <c r="B142" s="43" t="s">
        <v>209</v>
      </c>
      <c r="C142" s="56">
        <v>6.2995773939031607E-2</v>
      </c>
    </row>
    <row r="143" spans="2:3" ht="16" customHeight="1" x14ac:dyDescent="0.2">
      <c r="B143" s="43" t="s">
        <v>210</v>
      </c>
      <c r="C143" s="56">
        <v>0</v>
      </c>
    </row>
    <row r="144" spans="2:3" ht="16" customHeight="1" x14ac:dyDescent="0.2">
      <c r="B144" s="43" t="s">
        <v>211</v>
      </c>
      <c r="C144" s="56">
        <v>0</v>
      </c>
    </row>
    <row r="145" spans="2:3" ht="16" customHeight="1" x14ac:dyDescent="0.2">
      <c r="B145" s="43" t="s">
        <v>213</v>
      </c>
      <c r="C145" s="56">
        <v>5.8539762190223561E-3</v>
      </c>
    </row>
    <row r="146" spans="2:3" ht="16" customHeight="1" x14ac:dyDescent="0.2">
      <c r="B146" s="43" t="s">
        <v>278</v>
      </c>
      <c r="C146" s="56">
        <v>6.2995773939031607E-2</v>
      </c>
    </row>
    <row r="147" spans="2:3" ht="16" customHeight="1" x14ac:dyDescent="0.2">
      <c r="B147" s="43" t="s">
        <v>214</v>
      </c>
      <c r="C147" s="56">
        <v>5.3297395426919955E-2</v>
      </c>
    </row>
    <row r="148" spans="2:3" ht="16" customHeight="1" x14ac:dyDescent="0.2">
      <c r="B148" s="43" t="s">
        <v>215</v>
      </c>
      <c r="C148" s="56">
        <v>1.5464981951745628E-2</v>
      </c>
    </row>
    <row r="149" spans="2:3" ht="16" customHeight="1" x14ac:dyDescent="0.2">
      <c r="B149" s="43" t="s">
        <v>279</v>
      </c>
      <c r="C149" s="56">
        <v>6.2995773939031607E-2</v>
      </c>
    </row>
    <row r="150" spans="2:3" ht="16" customHeight="1" x14ac:dyDescent="0.2">
      <c r="B150" s="43" t="s">
        <v>216</v>
      </c>
      <c r="C150" s="56">
        <v>2.4202259890584967E-2</v>
      </c>
    </row>
    <row r="151" spans="2:3" ht="16" customHeight="1" x14ac:dyDescent="0.2">
      <c r="B151" s="43" t="s">
        <v>217</v>
      </c>
      <c r="C151" s="56">
        <v>5.3297395426919955E-2</v>
      </c>
    </row>
    <row r="152" spans="2:3" ht="16" customHeight="1" x14ac:dyDescent="0.2">
      <c r="B152" s="43" t="s">
        <v>218</v>
      </c>
      <c r="C152" s="56">
        <v>5.3297395426919955E-2</v>
      </c>
    </row>
    <row r="153" spans="2:3" ht="16" customHeight="1" x14ac:dyDescent="0.2">
      <c r="B153" s="43" t="s">
        <v>220</v>
      </c>
      <c r="C153" s="56">
        <v>1.5464981951745628E-2</v>
      </c>
    </row>
    <row r="154" spans="2:3" ht="16" customHeight="1" x14ac:dyDescent="0.2">
      <c r="B154" s="43" t="s">
        <v>221</v>
      </c>
      <c r="C154" s="56">
        <v>5.3297395426919955E-2</v>
      </c>
    </row>
    <row r="155" spans="2:3" ht="16" customHeight="1" x14ac:dyDescent="0.2">
      <c r="B155" s="43" t="s">
        <v>222</v>
      </c>
      <c r="C155" s="56">
        <v>6.2995773939031607E-2</v>
      </c>
    </row>
    <row r="156" spans="2:3" ht="16" customHeight="1" x14ac:dyDescent="0.2">
      <c r="B156" s="43" t="s">
        <v>280</v>
      </c>
      <c r="C156" s="56">
        <v>4.8055028663616358E-3</v>
      </c>
    </row>
    <row r="157" spans="2:3" ht="16" customHeight="1" x14ac:dyDescent="0.2">
      <c r="B157" s="43" t="s">
        <v>281</v>
      </c>
      <c r="C157" s="56">
        <v>5.8539762190223561E-3</v>
      </c>
    </row>
    <row r="158" spans="2:3" ht="16" customHeight="1" x14ac:dyDescent="0.2">
      <c r="B158" s="43" t="s">
        <v>282</v>
      </c>
      <c r="C158" s="56">
        <v>0</v>
      </c>
    </row>
    <row r="159" spans="2:3" ht="16" customHeight="1" x14ac:dyDescent="0.2">
      <c r="B159" s="43" t="s">
        <v>226</v>
      </c>
      <c r="C159" s="56">
        <v>1.8435656450951004E-2</v>
      </c>
    </row>
    <row r="160" spans="2:3" ht="16" customHeight="1" x14ac:dyDescent="0.2">
      <c r="B160" s="43" t="s">
        <v>227</v>
      </c>
      <c r="C160" s="56">
        <v>4.3599016914808296E-2</v>
      </c>
    </row>
    <row r="161" spans="2:5" ht="16" customHeight="1" x14ac:dyDescent="0.2">
      <c r="B161" s="63" t="s">
        <v>229</v>
      </c>
      <c r="C161" s="120">
        <v>0.19178657542527283</v>
      </c>
    </row>
    <row r="162" spans="2:5" ht="16" customHeight="1" x14ac:dyDescent="0.2">
      <c r="B162" s="63" t="s">
        <v>230</v>
      </c>
      <c r="C162" s="120">
        <v>3.4861738975968962E-2</v>
      </c>
    </row>
    <row r="163" spans="2:5" ht="16" customHeight="1" thickBot="1" x14ac:dyDescent="0.25">
      <c r="B163" s="121" t="s">
        <v>232</v>
      </c>
      <c r="C163" s="122">
        <v>0.11620579658656319</v>
      </c>
    </row>
    <row r="164" spans="2:5" ht="16" customHeight="1" x14ac:dyDescent="0.2">
      <c r="D164" s="46"/>
      <c r="E164" s="47"/>
    </row>
    <row r="165" spans="2:5" ht="16" customHeight="1" x14ac:dyDescent="0.2">
      <c r="B165" s="46" t="s">
        <v>253</v>
      </c>
      <c r="C165" s="46"/>
      <c r="D165" s="47"/>
      <c r="E165" s="48"/>
    </row>
    <row r="166" spans="2:5" ht="16" customHeight="1" x14ac:dyDescent="0.2">
      <c r="B166" s="163" t="s">
        <v>252</v>
      </c>
      <c r="C166" s="42"/>
      <c r="D166" s="47"/>
      <c r="E166" s="47"/>
    </row>
    <row r="167" spans="2:5" ht="16" customHeight="1" x14ac:dyDescent="0.2">
      <c r="B167" s="66" t="s">
        <v>10</v>
      </c>
      <c r="C167" s="67">
        <v>2020</v>
      </c>
      <c r="D167" s="47"/>
      <c r="E167" s="47"/>
    </row>
    <row r="168" spans="2:5" ht="16" customHeight="1" x14ac:dyDescent="0.2">
      <c r="B168" s="49" t="s">
        <v>65</v>
      </c>
      <c r="C168" s="54">
        <v>8.7198033829616606E-2</v>
      </c>
      <c r="D168" s="47"/>
      <c r="E168" s="47"/>
    </row>
    <row r="169" spans="2:5" ht="16" customHeight="1" x14ac:dyDescent="0.2">
      <c r="B169" s="49" t="s">
        <v>283</v>
      </c>
      <c r="C169" s="54">
        <v>8.2130412625089771E-3</v>
      </c>
      <c r="D169" s="47"/>
      <c r="E169" s="47"/>
    </row>
    <row r="170" spans="2:5" ht="16" customHeight="1" x14ac:dyDescent="0.2">
      <c r="B170" s="49" t="s">
        <v>119</v>
      </c>
      <c r="C170" s="54">
        <v>6.2995773939031607E-2</v>
      </c>
      <c r="D170" s="47"/>
      <c r="E170" s="47"/>
    </row>
    <row r="171" spans="2:5" ht="16" customHeight="1" x14ac:dyDescent="0.2">
      <c r="B171" s="49" t="s">
        <v>284</v>
      </c>
      <c r="C171" s="54">
        <v>0.11620579658656319</v>
      </c>
      <c r="D171" s="47"/>
      <c r="E171" s="47"/>
    </row>
    <row r="172" spans="2:5" ht="16" customHeight="1" x14ac:dyDescent="0.2">
      <c r="B172" s="49" t="s">
        <v>285</v>
      </c>
      <c r="C172" s="54">
        <v>7.2606779671754912E-2</v>
      </c>
      <c r="D172" s="47"/>
      <c r="E172" s="47"/>
    </row>
    <row r="173" spans="2:5" ht="16" customHeight="1" x14ac:dyDescent="0.2">
      <c r="B173" s="49" t="s">
        <v>286</v>
      </c>
      <c r="C173" s="54">
        <v>5.3297395426919962E-2</v>
      </c>
      <c r="D173" s="47"/>
      <c r="E173" s="47"/>
    </row>
    <row r="174" spans="2:5" ht="16" customHeight="1" x14ac:dyDescent="0.2">
      <c r="B174" s="49" t="s">
        <v>287</v>
      </c>
      <c r="C174" s="54">
        <v>0.11620579658656319</v>
      </c>
      <c r="D174" s="47"/>
      <c r="E174" s="47"/>
    </row>
    <row r="175" spans="2:5" ht="16" customHeight="1" x14ac:dyDescent="0.2">
      <c r="B175" s="49" t="s">
        <v>288</v>
      </c>
      <c r="C175" s="54">
        <v>8.7198033829616606E-2</v>
      </c>
      <c r="D175" s="47"/>
      <c r="E175" s="47"/>
    </row>
    <row r="176" spans="2:5" ht="16" customHeight="1" x14ac:dyDescent="0.2">
      <c r="B176" s="49" t="s">
        <v>289</v>
      </c>
      <c r="C176" s="54">
        <v>0.11620579658656319</v>
      </c>
      <c r="D176" s="47"/>
      <c r="E176" s="47"/>
    </row>
    <row r="177" spans="2:5" ht="16" customHeight="1" x14ac:dyDescent="0.2">
      <c r="B177" s="49" t="s">
        <v>290</v>
      </c>
      <c r="C177" s="54">
        <v>0.11620579658656319</v>
      </c>
      <c r="D177" s="47"/>
      <c r="E177" s="47"/>
    </row>
    <row r="178" spans="2:5" ht="16" customHeight="1" x14ac:dyDescent="0.2">
      <c r="B178" s="49" t="s">
        <v>150</v>
      </c>
      <c r="C178" s="54">
        <v>8.7198033829616606E-2</v>
      </c>
      <c r="D178" s="47"/>
      <c r="E178" s="47"/>
    </row>
    <row r="179" spans="2:5" ht="16" customHeight="1" x14ac:dyDescent="0.2">
      <c r="B179" s="49" t="s">
        <v>156</v>
      </c>
      <c r="C179" s="54">
        <v>6.2995773939031607E-2</v>
      </c>
      <c r="D179" s="47"/>
      <c r="E179" s="47"/>
    </row>
    <row r="180" spans="2:5" ht="16" customHeight="1" x14ac:dyDescent="0.2">
      <c r="B180" s="49" t="s">
        <v>157</v>
      </c>
      <c r="C180" s="54">
        <v>8.7198033829616606E-2</v>
      </c>
      <c r="D180" s="47"/>
      <c r="E180" s="47"/>
    </row>
    <row r="181" spans="2:5" ht="16" customHeight="1" x14ac:dyDescent="0.2">
      <c r="B181" s="49" t="s">
        <v>168</v>
      </c>
      <c r="C181" s="54">
        <v>6.2995773939031607E-2</v>
      </c>
      <c r="D181" s="47"/>
      <c r="E181" s="47"/>
    </row>
    <row r="182" spans="2:5" ht="16" customHeight="1" x14ac:dyDescent="0.2">
      <c r="B182" s="49" t="s">
        <v>196</v>
      </c>
      <c r="C182" s="54">
        <v>8.7198033829616606E-2</v>
      </c>
      <c r="D182" s="47"/>
      <c r="E182" s="47"/>
    </row>
    <row r="183" spans="2:5" ht="16" customHeight="1" x14ac:dyDescent="0.2">
      <c r="B183" s="49" t="s">
        <v>291</v>
      </c>
      <c r="C183" s="54">
        <v>0.11620579658656319</v>
      </c>
      <c r="D183" s="47"/>
      <c r="E183" s="47"/>
    </row>
    <row r="184" spans="2:5" ht="16" customHeight="1" x14ac:dyDescent="0.2">
      <c r="B184" s="49" t="s">
        <v>207</v>
      </c>
      <c r="C184" s="54">
        <v>0.19178657542527283</v>
      </c>
      <c r="D184" s="47"/>
      <c r="E184" s="47"/>
    </row>
    <row r="185" spans="2:5" ht="16" customHeight="1" x14ac:dyDescent="0.2">
      <c r="B185" s="49" t="s">
        <v>212</v>
      </c>
      <c r="C185" s="54">
        <v>0.19178657542527283</v>
      </c>
      <c r="D185" s="47"/>
      <c r="E185" s="47"/>
    </row>
    <row r="186" spans="2:5" ht="16" customHeight="1" x14ac:dyDescent="0.2">
      <c r="B186" s="49" t="s">
        <v>292</v>
      </c>
      <c r="C186" s="54">
        <v>0.19178657542527283</v>
      </c>
      <c r="D186" s="47"/>
      <c r="E186" s="47"/>
    </row>
    <row r="187" spans="2:5" ht="16" customHeight="1" thickBot="1" x14ac:dyDescent="0.25">
      <c r="B187" s="50" t="s">
        <v>233</v>
      </c>
      <c r="C187" s="55">
        <v>0.11620579658656319</v>
      </c>
      <c r="D187" s="47"/>
      <c r="E187" s="47"/>
    </row>
    <row r="188" spans="2:5" ht="16" customHeight="1" x14ac:dyDescent="0.2">
      <c r="B188" s="51" t="s">
        <v>245</v>
      </c>
      <c r="C188" s="52" t="s">
        <v>251</v>
      </c>
    </row>
    <row r="189" spans="2:5" ht="16" customHeight="1" x14ac:dyDescent="0.2">
      <c r="B189" s="53"/>
      <c r="C189" s="53"/>
    </row>
    <row r="190" spans="2:5" ht="16" customHeight="1" x14ac:dyDescent="0.2">
      <c r="B190" s="53"/>
      <c r="C190" s="53"/>
    </row>
    <row r="191" spans="2:5" ht="16" customHeight="1" x14ac:dyDescent="0.2">
      <c r="B191" s="53"/>
      <c r="C191" s="53"/>
    </row>
    <row r="192" spans="2:5" ht="16" customHeight="1" x14ac:dyDescent="0.2">
      <c r="B192" s="53"/>
      <c r="C192" s="53"/>
    </row>
    <row r="193" spans="2:3" ht="16" customHeight="1" x14ac:dyDescent="0.2">
      <c r="B193" s="53"/>
      <c r="C193" s="53"/>
    </row>
    <row r="194" spans="2:3" ht="16" customHeight="1" x14ac:dyDescent="0.2">
      <c r="B194" s="53"/>
      <c r="C194" s="53"/>
    </row>
    <row r="195" spans="2:3" ht="16" customHeight="1" x14ac:dyDescent="0.2">
      <c r="B195" s="53"/>
      <c r="C195" s="53"/>
    </row>
    <row r="196" spans="2:3" ht="16" customHeight="1" x14ac:dyDescent="0.2">
      <c r="B196" s="53"/>
      <c r="C196" s="53"/>
    </row>
    <row r="197" spans="2:3" ht="16" customHeight="1" x14ac:dyDescent="0.2">
      <c r="B197" s="53"/>
      <c r="C197" s="53"/>
    </row>
    <row r="198" spans="2:3" ht="16" customHeight="1" x14ac:dyDescent="0.2">
      <c r="B198" s="53"/>
      <c r="C198" s="53"/>
    </row>
    <row r="199" spans="2:3" ht="16" customHeight="1" x14ac:dyDescent="0.2">
      <c r="B199" s="53"/>
      <c r="C199" s="53"/>
    </row>
    <row r="200" spans="2:3" ht="16" customHeight="1" x14ac:dyDescent="0.2">
      <c r="B200" s="53"/>
      <c r="C200" s="53"/>
    </row>
    <row r="201" spans="2:3" ht="16" customHeight="1" x14ac:dyDescent="0.2">
      <c r="B201" s="53"/>
      <c r="C201" s="53"/>
    </row>
    <row r="202" spans="2:3" ht="16" customHeight="1" x14ac:dyDescent="0.2">
      <c r="B202" s="53"/>
      <c r="C202" s="53"/>
    </row>
    <row r="203" spans="2:3" ht="16" customHeight="1" x14ac:dyDescent="0.2">
      <c r="B203" s="53"/>
      <c r="C203" s="53"/>
    </row>
    <row r="204" spans="2:3" ht="16" customHeight="1" x14ac:dyDescent="0.2">
      <c r="B204" s="53"/>
      <c r="C204" s="53"/>
    </row>
    <row r="205" spans="2:3" ht="16" customHeight="1" x14ac:dyDescent="0.2">
      <c r="B205" s="53"/>
      <c r="C205" s="53"/>
    </row>
    <row r="206" spans="2:3" ht="16" customHeight="1" x14ac:dyDescent="0.2">
      <c r="B206" s="53"/>
      <c r="C206" s="53"/>
    </row>
    <row r="207" spans="2:3" ht="16" customHeight="1" x14ac:dyDescent="0.2">
      <c r="B207" s="53"/>
      <c r="C207" s="53"/>
    </row>
    <row r="208" spans="2:3" ht="16" customHeight="1" x14ac:dyDescent="0.2">
      <c r="B208" s="53"/>
      <c r="C208" s="53"/>
    </row>
    <row r="209" spans="2:3" ht="16" customHeight="1" x14ac:dyDescent="0.2">
      <c r="B209" s="53"/>
      <c r="C209" s="53"/>
    </row>
    <row r="210" spans="2:3" ht="16" customHeight="1" x14ac:dyDescent="0.2">
      <c r="B210" s="53"/>
      <c r="C210" s="53"/>
    </row>
    <row r="211" spans="2:3" ht="16" customHeight="1" x14ac:dyDescent="0.2">
      <c r="C211" s="53"/>
    </row>
  </sheetData>
  <hyperlinks>
    <hyperlink ref="C188" r:id="rId1" xr:uid="{00000000-0004-0000-0700-000000000000}"/>
    <hyperlink ref="A1" location="Index!A1" display="Index" xr:uid="{B2DEBA18-5070-D24D-811D-0019C848A674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J205"/>
  <sheetViews>
    <sheetView showGridLines="0" zoomScale="90" zoomScaleNormal="90" zoomScalePageLayoutView="90" workbookViewId="0"/>
  </sheetViews>
  <sheetFormatPr baseColWidth="10" defaultRowHeight="11" x14ac:dyDescent="0.2"/>
  <cols>
    <col min="1" max="1" width="3.6640625" style="109" customWidth="1"/>
    <col min="2" max="2" width="27.5" style="109" bestFit="1" customWidth="1"/>
    <col min="3" max="9" width="11.1640625" style="109" customWidth="1"/>
    <col min="10" max="10" width="11.6640625" style="109" bestFit="1" customWidth="1"/>
    <col min="11" max="16384" width="10.83203125" style="109"/>
  </cols>
  <sheetData>
    <row r="1" spans="1:10" s="169" customFormat="1" x14ac:dyDescent="0.15">
      <c r="A1" s="198" t="s">
        <v>333</v>
      </c>
    </row>
    <row r="2" spans="1:10" s="169" customFormat="1" x14ac:dyDescent="0.15">
      <c r="A2" s="169" t="str">
        <f>Cover!$B$7</f>
        <v>Discount rate estimation</v>
      </c>
    </row>
    <row r="3" spans="1:10" s="193" customFormat="1" ht="16" x14ac:dyDescent="0.2">
      <c r="A3" s="194" t="str">
        <f ca="1">MID(CELL("filename",A1),FIND("]",CELL("filename",A1))+1,255)</f>
        <v>Inflation</v>
      </c>
    </row>
    <row r="4" spans="1:10" ht="16" customHeight="1" x14ac:dyDescent="0.2"/>
    <row r="5" spans="1:10" ht="16" customHeight="1" x14ac:dyDescent="0.2">
      <c r="B5" s="107" t="s">
        <v>327</v>
      </c>
      <c r="C5" s="108"/>
      <c r="D5" s="108"/>
      <c r="E5" s="108"/>
      <c r="F5" s="108"/>
      <c r="G5" s="108"/>
      <c r="H5" s="108"/>
      <c r="I5" s="108"/>
      <c r="J5" s="108"/>
    </row>
    <row r="6" spans="1:10" ht="16" customHeight="1" x14ac:dyDescent="0.2">
      <c r="B6" s="134" t="s">
        <v>326</v>
      </c>
      <c r="C6" s="123">
        <f>Input!$C$9</f>
        <v>44196</v>
      </c>
      <c r="D6" s="123">
        <f>EOMONTH(C6,12)</f>
        <v>44561</v>
      </c>
      <c r="E6" s="123">
        <f t="shared" ref="E6:H6" si="0">EOMONTH(D6,12)</f>
        <v>44926</v>
      </c>
      <c r="F6" s="123">
        <f t="shared" si="0"/>
        <v>45291</v>
      </c>
      <c r="G6" s="123">
        <f t="shared" si="0"/>
        <v>45657</v>
      </c>
      <c r="H6" s="123">
        <f t="shared" si="0"/>
        <v>46022</v>
      </c>
      <c r="I6" s="136" t="s">
        <v>40</v>
      </c>
      <c r="J6" s="137" t="s">
        <v>318</v>
      </c>
    </row>
    <row r="7" spans="1:10" ht="16" customHeight="1" x14ac:dyDescent="0.2">
      <c r="B7" s="135" t="str">
        <f>Input!$G$9</f>
        <v>USA</v>
      </c>
      <c r="C7" s="131"/>
      <c r="D7" s="129"/>
      <c r="E7" s="129"/>
      <c r="F7" s="129"/>
      <c r="G7" s="129"/>
      <c r="H7" s="129"/>
      <c r="I7" s="124" t="e">
        <f>AVERAGE(D7:H7)</f>
        <v>#DIV/0!</v>
      </c>
      <c r="J7" s="125"/>
    </row>
    <row r="8" spans="1:10" ht="16" customHeight="1" thickBot="1" x14ac:dyDescent="0.25">
      <c r="B8" s="126" t="s">
        <v>308</v>
      </c>
      <c r="C8" s="132"/>
      <c r="D8" s="130"/>
      <c r="E8" s="130"/>
      <c r="F8" s="130"/>
      <c r="G8" s="130"/>
      <c r="H8" s="130"/>
      <c r="I8" s="127" t="e">
        <f>AVERAGE(D8:H8)</f>
        <v>#DIV/0!</v>
      </c>
      <c r="J8" s="128">
        <f>H8-$H$7</f>
        <v>0</v>
      </c>
    </row>
    <row r="9" spans="1:10" ht="16" customHeight="1" x14ac:dyDescent="0.2">
      <c r="B9" s="110"/>
      <c r="C9" s="111"/>
    </row>
    <row r="10" spans="1:10" ht="16" customHeight="1" x14ac:dyDescent="0.2">
      <c r="B10" s="110"/>
      <c r="C10" s="111"/>
    </row>
    <row r="11" spans="1:10" ht="16" customHeight="1" x14ac:dyDescent="0.2">
      <c r="B11" s="110"/>
      <c r="C11" s="111"/>
    </row>
    <row r="12" spans="1:10" ht="16" customHeight="1" x14ac:dyDescent="0.2">
      <c r="B12" s="110"/>
      <c r="C12" s="111"/>
    </row>
    <row r="13" spans="1:10" ht="16" customHeight="1" x14ac:dyDescent="0.2">
      <c r="B13" s="110"/>
      <c r="C13" s="111"/>
    </row>
    <row r="14" spans="1:10" ht="16" customHeight="1" x14ac:dyDescent="0.2">
      <c r="B14" s="110"/>
      <c r="C14" s="111"/>
    </row>
    <row r="15" spans="1:10" ht="16" customHeight="1" x14ac:dyDescent="0.2">
      <c r="B15" s="110"/>
      <c r="C15" s="111"/>
    </row>
    <row r="16" spans="1:10" ht="16" customHeight="1" x14ac:dyDescent="0.2">
      <c r="B16" s="110"/>
      <c r="C16" s="111"/>
    </row>
    <row r="17" spans="2:3" ht="16" customHeight="1" x14ac:dyDescent="0.2">
      <c r="B17" s="110"/>
      <c r="C17" s="111"/>
    </row>
    <row r="18" spans="2:3" ht="16" customHeight="1" x14ac:dyDescent="0.2">
      <c r="B18" s="110"/>
      <c r="C18" s="111"/>
    </row>
    <row r="19" spans="2:3" ht="16" customHeight="1" x14ac:dyDescent="0.2">
      <c r="B19" s="110"/>
      <c r="C19" s="111"/>
    </row>
    <row r="20" spans="2:3" ht="16" customHeight="1" x14ac:dyDescent="0.2">
      <c r="B20" s="110"/>
      <c r="C20" s="111"/>
    </row>
    <row r="21" spans="2:3" ht="16" customHeight="1" x14ac:dyDescent="0.2">
      <c r="B21" s="110"/>
      <c r="C21" s="111"/>
    </row>
    <row r="22" spans="2:3" ht="16" customHeight="1" x14ac:dyDescent="0.2">
      <c r="B22" s="110"/>
      <c r="C22" s="111"/>
    </row>
    <row r="23" spans="2:3" ht="16" customHeight="1" x14ac:dyDescent="0.2">
      <c r="B23" s="110"/>
      <c r="C23" s="111"/>
    </row>
    <row r="24" spans="2:3" ht="16" customHeight="1" x14ac:dyDescent="0.2">
      <c r="B24" s="110"/>
      <c r="C24" s="111"/>
    </row>
    <row r="25" spans="2:3" ht="16" customHeight="1" x14ac:dyDescent="0.2">
      <c r="B25" s="110"/>
      <c r="C25" s="111"/>
    </row>
    <row r="26" spans="2:3" ht="16" customHeight="1" x14ac:dyDescent="0.2">
      <c r="B26" s="110"/>
      <c r="C26" s="111"/>
    </row>
    <row r="27" spans="2:3" ht="16" customHeight="1" x14ac:dyDescent="0.2">
      <c r="B27" s="110"/>
      <c r="C27" s="111"/>
    </row>
    <row r="28" spans="2:3" ht="16" customHeight="1" x14ac:dyDescent="0.2">
      <c r="B28" s="110"/>
      <c r="C28" s="111"/>
    </row>
    <row r="29" spans="2:3" ht="16" customHeight="1" x14ac:dyDescent="0.2">
      <c r="B29" s="110"/>
      <c r="C29" s="111"/>
    </row>
    <row r="30" spans="2:3" ht="16" customHeight="1" x14ac:dyDescent="0.2">
      <c r="B30" s="110"/>
      <c r="C30" s="111"/>
    </row>
    <row r="31" spans="2:3" ht="16" customHeight="1" x14ac:dyDescent="0.2">
      <c r="B31" s="110"/>
      <c r="C31" s="111"/>
    </row>
    <row r="32" spans="2:3" ht="16" customHeight="1" x14ac:dyDescent="0.2">
      <c r="B32" s="110"/>
      <c r="C32" s="111"/>
    </row>
    <row r="33" spans="2:3" ht="16" customHeight="1" x14ac:dyDescent="0.2">
      <c r="B33" s="110"/>
      <c r="C33" s="111"/>
    </row>
    <row r="34" spans="2:3" ht="16" customHeight="1" x14ac:dyDescent="0.2">
      <c r="B34" s="110"/>
      <c r="C34" s="111"/>
    </row>
    <row r="35" spans="2:3" ht="16" customHeight="1" x14ac:dyDescent="0.2">
      <c r="B35" s="110"/>
      <c r="C35" s="111"/>
    </row>
    <row r="36" spans="2:3" ht="16" customHeight="1" x14ac:dyDescent="0.2">
      <c r="B36" s="110"/>
      <c r="C36" s="111"/>
    </row>
    <row r="37" spans="2:3" ht="16" customHeight="1" x14ac:dyDescent="0.2">
      <c r="B37" s="110"/>
      <c r="C37" s="111"/>
    </row>
    <row r="38" spans="2:3" ht="16" customHeight="1" x14ac:dyDescent="0.2">
      <c r="B38" s="110"/>
      <c r="C38" s="111"/>
    </row>
    <row r="39" spans="2:3" ht="16" customHeight="1" x14ac:dyDescent="0.2">
      <c r="B39" s="110"/>
      <c r="C39" s="111"/>
    </row>
    <row r="40" spans="2:3" ht="16" customHeight="1" x14ac:dyDescent="0.2">
      <c r="B40" s="110"/>
      <c r="C40" s="111"/>
    </row>
    <row r="41" spans="2:3" ht="16" customHeight="1" x14ac:dyDescent="0.2">
      <c r="B41" s="110"/>
      <c r="C41" s="111"/>
    </row>
    <row r="42" spans="2:3" ht="16" customHeight="1" x14ac:dyDescent="0.2">
      <c r="B42" s="110"/>
      <c r="C42" s="111"/>
    </row>
    <row r="43" spans="2:3" ht="16" customHeight="1" x14ac:dyDescent="0.2">
      <c r="B43" s="110"/>
      <c r="C43" s="111"/>
    </row>
    <row r="44" spans="2:3" ht="16" customHeight="1" x14ac:dyDescent="0.2">
      <c r="B44" s="110"/>
      <c r="C44" s="111"/>
    </row>
    <row r="45" spans="2:3" ht="16" customHeight="1" x14ac:dyDescent="0.2">
      <c r="B45" s="110"/>
      <c r="C45" s="111"/>
    </row>
    <row r="46" spans="2:3" ht="16" customHeight="1" x14ac:dyDescent="0.2">
      <c r="B46" s="110"/>
      <c r="C46" s="111"/>
    </row>
    <row r="47" spans="2:3" ht="16" customHeight="1" x14ac:dyDescent="0.2">
      <c r="B47" s="110"/>
      <c r="C47" s="111"/>
    </row>
    <row r="48" spans="2:3" ht="16" customHeight="1" x14ac:dyDescent="0.2">
      <c r="B48" s="110"/>
      <c r="C48" s="111"/>
    </row>
    <row r="49" spans="2:3" ht="16" customHeight="1" x14ac:dyDescent="0.2">
      <c r="B49" s="110"/>
      <c r="C49" s="111"/>
    </row>
    <row r="50" spans="2:3" ht="16" customHeight="1" x14ac:dyDescent="0.2">
      <c r="B50" s="110"/>
      <c r="C50" s="111"/>
    </row>
    <row r="51" spans="2:3" ht="16" customHeight="1" x14ac:dyDescent="0.2">
      <c r="B51" s="110"/>
      <c r="C51" s="111"/>
    </row>
    <row r="52" spans="2:3" ht="16" customHeight="1" x14ac:dyDescent="0.2">
      <c r="B52" s="110"/>
      <c r="C52" s="111"/>
    </row>
    <row r="53" spans="2:3" ht="16" customHeight="1" x14ac:dyDescent="0.2">
      <c r="B53" s="110"/>
      <c r="C53" s="111"/>
    </row>
    <row r="54" spans="2:3" ht="16" customHeight="1" x14ac:dyDescent="0.2">
      <c r="B54" s="110"/>
      <c r="C54" s="111"/>
    </row>
    <row r="55" spans="2:3" ht="16" customHeight="1" x14ac:dyDescent="0.2">
      <c r="B55" s="110"/>
      <c r="C55" s="111"/>
    </row>
    <row r="56" spans="2:3" ht="16" customHeight="1" x14ac:dyDescent="0.2">
      <c r="B56" s="110"/>
      <c r="C56" s="111"/>
    </row>
    <row r="57" spans="2:3" ht="16" customHeight="1" x14ac:dyDescent="0.2">
      <c r="B57" s="110"/>
      <c r="C57" s="111"/>
    </row>
    <row r="58" spans="2:3" ht="16" customHeight="1" x14ac:dyDescent="0.2">
      <c r="B58" s="110"/>
      <c r="C58" s="111"/>
    </row>
    <row r="59" spans="2:3" ht="16" customHeight="1" x14ac:dyDescent="0.2">
      <c r="B59" s="110"/>
      <c r="C59" s="111"/>
    </row>
    <row r="60" spans="2:3" ht="16" customHeight="1" x14ac:dyDescent="0.2">
      <c r="B60" s="110"/>
      <c r="C60" s="111"/>
    </row>
    <row r="61" spans="2:3" ht="16" customHeight="1" x14ac:dyDescent="0.2">
      <c r="B61" s="110"/>
      <c r="C61" s="111"/>
    </row>
    <row r="62" spans="2:3" ht="16" customHeight="1" x14ac:dyDescent="0.2">
      <c r="B62" s="110"/>
      <c r="C62" s="111"/>
    </row>
    <row r="63" spans="2:3" ht="16" customHeight="1" x14ac:dyDescent="0.2">
      <c r="B63" s="110"/>
      <c r="C63" s="111"/>
    </row>
    <row r="64" spans="2:3" ht="16" customHeight="1" x14ac:dyDescent="0.2">
      <c r="B64" s="110"/>
      <c r="C64" s="111"/>
    </row>
    <row r="65" spans="2:3" ht="16" customHeight="1" x14ac:dyDescent="0.2">
      <c r="B65" s="110"/>
      <c r="C65" s="111"/>
    </row>
    <row r="66" spans="2:3" ht="16" customHeight="1" x14ac:dyDescent="0.2">
      <c r="B66" s="110"/>
      <c r="C66" s="111"/>
    </row>
    <row r="67" spans="2:3" ht="16" customHeight="1" x14ac:dyDescent="0.2">
      <c r="B67" s="110"/>
      <c r="C67" s="111"/>
    </row>
    <row r="68" spans="2:3" ht="16" customHeight="1" x14ac:dyDescent="0.2">
      <c r="B68" s="110"/>
      <c r="C68" s="111"/>
    </row>
    <row r="69" spans="2:3" ht="16" customHeight="1" x14ac:dyDescent="0.2">
      <c r="B69" s="110"/>
      <c r="C69" s="111"/>
    </row>
    <row r="70" spans="2:3" ht="16" customHeight="1" x14ac:dyDescent="0.2">
      <c r="B70" s="110"/>
      <c r="C70" s="111"/>
    </row>
    <row r="71" spans="2:3" ht="16" customHeight="1" x14ac:dyDescent="0.2">
      <c r="B71" s="110"/>
      <c r="C71" s="111"/>
    </row>
    <row r="72" spans="2:3" ht="16" customHeight="1" x14ac:dyDescent="0.2">
      <c r="B72" s="110"/>
      <c r="C72" s="111"/>
    </row>
    <row r="73" spans="2:3" ht="16" customHeight="1" x14ac:dyDescent="0.2">
      <c r="B73" s="110"/>
      <c r="C73" s="111"/>
    </row>
    <row r="74" spans="2:3" ht="16" customHeight="1" x14ac:dyDescent="0.2">
      <c r="B74" s="110"/>
      <c r="C74" s="111"/>
    </row>
    <row r="75" spans="2:3" ht="16" customHeight="1" x14ac:dyDescent="0.2">
      <c r="B75" s="110"/>
      <c r="C75" s="111"/>
    </row>
    <row r="76" spans="2:3" ht="16" customHeight="1" x14ac:dyDescent="0.2">
      <c r="B76" s="110"/>
      <c r="C76" s="111"/>
    </row>
    <row r="77" spans="2:3" ht="16" customHeight="1" x14ac:dyDescent="0.2">
      <c r="B77" s="110"/>
      <c r="C77" s="111"/>
    </row>
    <row r="78" spans="2:3" ht="16" customHeight="1" x14ac:dyDescent="0.2">
      <c r="B78" s="110"/>
      <c r="C78" s="111"/>
    </row>
    <row r="79" spans="2:3" ht="16" customHeight="1" x14ac:dyDescent="0.2">
      <c r="B79" s="110"/>
      <c r="C79" s="111"/>
    </row>
    <row r="80" spans="2:3" ht="16" customHeight="1" x14ac:dyDescent="0.2">
      <c r="B80" s="110"/>
      <c r="C80" s="111"/>
    </row>
    <row r="81" spans="2:3" ht="16" customHeight="1" x14ac:dyDescent="0.2">
      <c r="B81" s="110"/>
      <c r="C81" s="111"/>
    </row>
    <row r="82" spans="2:3" ht="16" customHeight="1" x14ac:dyDescent="0.2">
      <c r="B82" s="110"/>
      <c r="C82" s="111"/>
    </row>
    <row r="83" spans="2:3" ht="16" customHeight="1" x14ac:dyDescent="0.2">
      <c r="B83" s="110"/>
      <c r="C83" s="111"/>
    </row>
    <row r="84" spans="2:3" ht="16" customHeight="1" x14ac:dyDescent="0.2">
      <c r="B84" s="110"/>
      <c r="C84" s="111"/>
    </row>
    <row r="85" spans="2:3" ht="16" customHeight="1" x14ac:dyDescent="0.2">
      <c r="B85" s="110"/>
      <c r="C85" s="111"/>
    </row>
    <row r="86" spans="2:3" ht="16" customHeight="1" x14ac:dyDescent="0.2">
      <c r="B86" s="110"/>
      <c r="C86" s="111"/>
    </row>
    <row r="87" spans="2:3" ht="16" customHeight="1" x14ac:dyDescent="0.2">
      <c r="B87" s="110"/>
      <c r="C87" s="111"/>
    </row>
    <row r="88" spans="2:3" ht="16" customHeight="1" x14ac:dyDescent="0.2">
      <c r="B88" s="110"/>
      <c r="C88" s="111"/>
    </row>
    <row r="89" spans="2:3" ht="16" customHeight="1" x14ac:dyDescent="0.2">
      <c r="B89" s="110"/>
      <c r="C89" s="111"/>
    </row>
    <row r="90" spans="2:3" ht="16" customHeight="1" x14ac:dyDescent="0.2">
      <c r="B90" s="110"/>
      <c r="C90" s="111"/>
    </row>
    <row r="91" spans="2:3" ht="16" customHeight="1" x14ac:dyDescent="0.2">
      <c r="B91" s="110"/>
      <c r="C91" s="111"/>
    </row>
    <row r="92" spans="2:3" ht="16" customHeight="1" x14ac:dyDescent="0.2">
      <c r="B92" s="110"/>
      <c r="C92" s="111"/>
    </row>
    <row r="93" spans="2:3" ht="16" customHeight="1" x14ac:dyDescent="0.2">
      <c r="B93" s="110"/>
      <c r="C93" s="111"/>
    </row>
    <row r="94" spans="2:3" ht="16" customHeight="1" x14ac:dyDescent="0.2">
      <c r="B94" s="110"/>
      <c r="C94" s="111"/>
    </row>
    <row r="95" spans="2:3" ht="16" customHeight="1" x14ac:dyDescent="0.2">
      <c r="B95" s="110"/>
      <c r="C95" s="111"/>
    </row>
    <row r="96" spans="2:3" ht="16" customHeight="1" x14ac:dyDescent="0.2">
      <c r="B96" s="110"/>
      <c r="C96" s="111"/>
    </row>
    <row r="97" spans="2:3" ht="16" customHeight="1" x14ac:dyDescent="0.2">
      <c r="B97" s="110"/>
      <c r="C97" s="111"/>
    </row>
    <row r="98" spans="2:3" ht="16" customHeight="1" x14ac:dyDescent="0.2">
      <c r="B98" s="110"/>
      <c r="C98" s="111"/>
    </row>
    <row r="99" spans="2:3" ht="16" customHeight="1" x14ac:dyDescent="0.2">
      <c r="B99" s="110"/>
      <c r="C99" s="111"/>
    </row>
    <row r="100" spans="2:3" ht="16" customHeight="1" x14ac:dyDescent="0.2">
      <c r="B100" s="110"/>
      <c r="C100" s="111"/>
    </row>
    <row r="101" spans="2:3" ht="16" customHeight="1" x14ac:dyDescent="0.2">
      <c r="B101" s="110"/>
      <c r="C101" s="111"/>
    </row>
    <row r="102" spans="2:3" ht="16" customHeight="1" x14ac:dyDescent="0.2">
      <c r="B102" s="110"/>
      <c r="C102" s="111"/>
    </row>
    <row r="103" spans="2:3" ht="16" customHeight="1" x14ac:dyDescent="0.2">
      <c r="B103" s="110"/>
      <c r="C103" s="111"/>
    </row>
    <row r="104" spans="2:3" ht="16" customHeight="1" x14ac:dyDescent="0.2">
      <c r="B104" s="110"/>
      <c r="C104" s="111"/>
    </row>
    <row r="105" spans="2:3" ht="16" customHeight="1" x14ac:dyDescent="0.2">
      <c r="B105" s="110"/>
      <c r="C105" s="111"/>
    </row>
    <row r="106" spans="2:3" ht="16" customHeight="1" x14ac:dyDescent="0.2">
      <c r="B106" s="110"/>
      <c r="C106" s="111"/>
    </row>
    <row r="107" spans="2:3" ht="16" customHeight="1" x14ac:dyDescent="0.2">
      <c r="B107" s="110"/>
      <c r="C107" s="111"/>
    </row>
    <row r="108" spans="2:3" ht="16" customHeight="1" x14ac:dyDescent="0.2">
      <c r="B108" s="110"/>
      <c r="C108" s="111"/>
    </row>
    <row r="109" spans="2:3" ht="16" customHeight="1" x14ac:dyDescent="0.2">
      <c r="B109" s="110"/>
      <c r="C109" s="111"/>
    </row>
    <row r="110" spans="2:3" ht="16" customHeight="1" x14ac:dyDescent="0.2">
      <c r="B110" s="110"/>
      <c r="C110" s="111"/>
    </row>
    <row r="111" spans="2:3" ht="16" customHeight="1" x14ac:dyDescent="0.2">
      <c r="B111" s="110"/>
      <c r="C111" s="111"/>
    </row>
    <row r="112" spans="2:3" ht="16" customHeight="1" x14ac:dyDescent="0.2">
      <c r="B112" s="110"/>
      <c r="C112" s="111"/>
    </row>
    <row r="113" spans="2:3" ht="16" customHeight="1" x14ac:dyDescent="0.2">
      <c r="B113" s="110"/>
      <c r="C113" s="111"/>
    </row>
    <row r="114" spans="2:3" ht="16" customHeight="1" x14ac:dyDescent="0.2">
      <c r="B114" s="110"/>
      <c r="C114" s="111"/>
    </row>
    <row r="115" spans="2:3" ht="16" customHeight="1" x14ac:dyDescent="0.2">
      <c r="B115" s="110"/>
      <c r="C115" s="111"/>
    </row>
    <row r="116" spans="2:3" ht="16" customHeight="1" x14ac:dyDescent="0.2">
      <c r="B116" s="110"/>
      <c r="C116" s="111"/>
    </row>
    <row r="117" spans="2:3" ht="16" customHeight="1" x14ac:dyDescent="0.2">
      <c r="B117" s="110"/>
      <c r="C117" s="111"/>
    </row>
    <row r="118" spans="2:3" ht="16" customHeight="1" x14ac:dyDescent="0.2">
      <c r="B118" s="110"/>
      <c r="C118" s="111"/>
    </row>
    <row r="119" spans="2:3" ht="16" customHeight="1" x14ac:dyDescent="0.2">
      <c r="B119" s="110"/>
      <c r="C119" s="111"/>
    </row>
    <row r="120" spans="2:3" ht="16" customHeight="1" x14ac:dyDescent="0.2">
      <c r="B120" s="110"/>
      <c r="C120" s="111"/>
    </row>
    <row r="121" spans="2:3" ht="16" customHeight="1" x14ac:dyDescent="0.2">
      <c r="B121" s="110"/>
      <c r="C121" s="111"/>
    </row>
    <row r="122" spans="2:3" ht="16" customHeight="1" x14ac:dyDescent="0.2">
      <c r="B122" s="110"/>
      <c r="C122" s="111"/>
    </row>
    <row r="123" spans="2:3" ht="16" customHeight="1" x14ac:dyDescent="0.2">
      <c r="B123" s="110"/>
      <c r="C123" s="111"/>
    </row>
    <row r="124" spans="2:3" ht="16" customHeight="1" x14ac:dyDescent="0.2">
      <c r="B124" s="110"/>
      <c r="C124" s="111"/>
    </row>
    <row r="125" spans="2:3" ht="16" customHeight="1" x14ac:dyDescent="0.2">
      <c r="B125" s="110"/>
      <c r="C125" s="111"/>
    </row>
    <row r="126" spans="2:3" ht="16" customHeight="1" x14ac:dyDescent="0.2">
      <c r="B126" s="110"/>
      <c r="C126" s="111"/>
    </row>
    <row r="127" spans="2:3" ht="16" customHeight="1" x14ac:dyDescent="0.2">
      <c r="B127" s="110"/>
      <c r="C127" s="111"/>
    </row>
    <row r="128" spans="2:3" ht="16" customHeight="1" x14ac:dyDescent="0.2">
      <c r="B128" s="110"/>
      <c r="C128" s="111"/>
    </row>
    <row r="129" spans="2:3" ht="16" customHeight="1" x14ac:dyDescent="0.2">
      <c r="B129" s="110"/>
      <c r="C129" s="111"/>
    </row>
    <row r="130" spans="2:3" ht="16" customHeight="1" x14ac:dyDescent="0.2">
      <c r="B130" s="110"/>
      <c r="C130" s="111"/>
    </row>
    <row r="131" spans="2:3" ht="16" customHeight="1" x14ac:dyDescent="0.2">
      <c r="B131" s="110"/>
      <c r="C131" s="111"/>
    </row>
    <row r="132" spans="2:3" ht="16" customHeight="1" x14ac:dyDescent="0.2">
      <c r="B132" s="110"/>
      <c r="C132" s="111"/>
    </row>
    <row r="133" spans="2:3" ht="16" customHeight="1" x14ac:dyDescent="0.2">
      <c r="B133" s="110"/>
      <c r="C133" s="111"/>
    </row>
    <row r="134" spans="2:3" ht="16" customHeight="1" x14ac:dyDescent="0.2">
      <c r="B134" s="110"/>
      <c r="C134" s="111"/>
    </row>
    <row r="135" spans="2:3" ht="16" customHeight="1" x14ac:dyDescent="0.2">
      <c r="B135" s="110"/>
      <c r="C135" s="111"/>
    </row>
    <row r="136" spans="2:3" ht="16" customHeight="1" x14ac:dyDescent="0.2">
      <c r="B136" s="110"/>
      <c r="C136" s="111"/>
    </row>
    <row r="137" spans="2:3" ht="16" customHeight="1" x14ac:dyDescent="0.2">
      <c r="B137" s="110"/>
      <c r="C137" s="111"/>
    </row>
    <row r="138" spans="2:3" ht="16" customHeight="1" x14ac:dyDescent="0.2">
      <c r="B138" s="110"/>
      <c r="C138" s="111"/>
    </row>
    <row r="139" spans="2:3" ht="16" customHeight="1" x14ac:dyDescent="0.2">
      <c r="B139" s="110"/>
      <c r="C139" s="111"/>
    </row>
    <row r="140" spans="2:3" ht="16" customHeight="1" x14ac:dyDescent="0.2">
      <c r="B140" s="110"/>
      <c r="C140" s="111"/>
    </row>
    <row r="141" spans="2:3" ht="16" customHeight="1" x14ac:dyDescent="0.2">
      <c r="B141" s="110"/>
      <c r="C141" s="111"/>
    </row>
    <row r="142" spans="2:3" ht="16" customHeight="1" x14ac:dyDescent="0.2">
      <c r="B142" s="110"/>
      <c r="C142" s="111"/>
    </row>
    <row r="143" spans="2:3" ht="16" customHeight="1" x14ac:dyDescent="0.2">
      <c r="B143" s="110"/>
      <c r="C143" s="111"/>
    </row>
    <row r="144" spans="2:3" ht="16" customHeight="1" x14ac:dyDescent="0.2">
      <c r="B144" s="110"/>
      <c r="C144" s="111"/>
    </row>
    <row r="145" spans="2:5" ht="16" customHeight="1" x14ac:dyDescent="0.2">
      <c r="B145" s="110"/>
      <c r="C145" s="111"/>
    </row>
    <row r="146" spans="2:5" ht="16" customHeight="1" x14ac:dyDescent="0.2">
      <c r="B146" s="110"/>
      <c r="C146" s="111"/>
    </row>
    <row r="147" spans="2:5" ht="16" customHeight="1" x14ac:dyDescent="0.2">
      <c r="B147" s="110"/>
      <c r="C147" s="111"/>
    </row>
    <row r="148" spans="2:5" ht="16" customHeight="1" x14ac:dyDescent="0.2">
      <c r="B148" s="110"/>
      <c r="C148" s="111"/>
    </row>
    <row r="149" spans="2:5" ht="16" customHeight="1" x14ac:dyDescent="0.2">
      <c r="B149" s="110"/>
      <c r="C149" s="111"/>
    </row>
    <row r="150" spans="2:5" ht="16" customHeight="1" x14ac:dyDescent="0.2">
      <c r="B150" s="110"/>
      <c r="C150" s="111"/>
    </row>
    <row r="151" spans="2:5" ht="16" customHeight="1" x14ac:dyDescent="0.2">
      <c r="B151" s="110"/>
      <c r="C151" s="111"/>
    </row>
    <row r="152" spans="2:5" ht="16" customHeight="1" x14ac:dyDescent="0.2">
      <c r="B152" s="110"/>
      <c r="C152" s="111"/>
    </row>
    <row r="153" spans="2:5" ht="16" customHeight="1" x14ac:dyDescent="0.2">
      <c r="B153" s="110"/>
      <c r="C153" s="111"/>
    </row>
    <row r="154" spans="2:5" ht="16" customHeight="1" x14ac:dyDescent="0.2">
      <c r="B154" s="110"/>
      <c r="C154" s="111"/>
    </row>
    <row r="155" spans="2:5" ht="16" customHeight="1" x14ac:dyDescent="0.2">
      <c r="B155" s="113"/>
      <c r="C155" s="113"/>
    </row>
    <row r="156" spans="2:5" ht="16" customHeight="1" x14ac:dyDescent="0.2">
      <c r="B156" s="113"/>
      <c r="C156" s="113"/>
    </row>
    <row r="157" spans="2:5" ht="16" customHeight="1" x14ac:dyDescent="0.2">
      <c r="B157" s="113"/>
      <c r="C157" s="113"/>
    </row>
    <row r="158" spans="2:5" ht="16" customHeight="1" x14ac:dyDescent="0.2">
      <c r="B158" s="113"/>
      <c r="C158" s="113"/>
    </row>
    <row r="159" spans="2:5" ht="16" customHeight="1" x14ac:dyDescent="0.2">
      <c r="B159" s="113"/>
      <c r="C159" s="113"/>
      <c r="D159" s="112"/>
      <c r="E159" s="113"/>
    </row>
    <row r="160" spans="2:5" ht="16" customHeight="1" x14ac:dyDescent="0.2">
      <c r="B160" s="113"/>
      <c r="C160" s="113"/>
      <c r="D160" s="113"/>
      <c r="E160" s="114"/>
    </row>
    <row r="161" spans="2:5" ht="16" customHeight="1" x14ac:dyDescent="0.2">
      <c r="B161" s="113"/>
      <c r="C161" s="113"/>
      <c r="D161" s="113"/>
      <c r="E161" s="113"/>
    </row>
    <row r="162" spans="2:5" ht="16" customHeight="1" x14ac:dyDescent="0.2">
      <c r="B162" s="113"/>
      <c r="C162" s="113"/>
      <c r="D162" s="113"/>
      <c r="E162" s="113"/>
    </row>
    <row r="163" spans="2:5" ht="16" customHeight="1" x14ac:dyDescent="0.2">
      <c r="B163" s="113"/>
      <c r="C163" s="113"/>
      <c r="D163" s="113"/>
      <c r="E163" s="113"/>
    </row>
    <row r="164" spans="2:5" ht="16" customHeight="1" x14ac:dyDescent="0.2">
      <c r="B164" s="115"/>
      <c r="C164" s="116"/>
      <c r="D164" s="113"/>
      <c r="E164" s="113"/>
    </row>
    <row r="165" spans="2:5" ht="16" customHeight="1" x14ac:dyDescent="0.2">
      <c r="B165" s="115"/>
      <c r="C165" s="116"/>
      <c r="D165" s="113"/>
      <c r="E165" s="113"/>
    </row>
    <row r="166" spans="2:5" ht="16" customHeight="1" x14ac:dyDescent="0.2">
      <c r="B166" s="115"/>
      <c r="C166" s="116"/>
      <c r="D166" s="113"/>
      <c r="E166" s="113"/>
    </row>
    <row r="167" spans="2:5" ht="16" customHeight="1" x14ac:dyDescent="0.2">
      <c r="B167" s="115"/>
      <c r="C167" s="116"/>
      <c r="D167" s="113"/>
      <c r="E167" s="113"/>
    </row>
    <row r="168" spans="2:5" ht="16" customHeight="1" x14ac:dyDescent="0.2">
      <c r="B168" s="115"/>
      <c r="C168" s="116"/>
      <c r="D168" s="113"/>
      <c r="E168" s="113"/>
    </row>
    <row r="169" spans="2:5" ht="16" customHeight="1" x14ac:dyDescent="0.2">
      <c r="B169" s="115"/>
      <c r="C169" s="116"/>
      <c r="D169" s="113"/>
      <c r="E169" s="113"/>
    </row>
    <row r="170" spans="2:5" ht="16" customHeight="1" x14ac:dyDescent="0.2">
      <c r="B170" s="115"/>
      <c r="C170" s="116"/>
      <c r="D170" s="113"/>
      <c r="E170" s="113"/>
    </row>
    <row r="171" spans="2:5" ht="16" customHeight="1" x14ac:dyDescent="0.2">
      <c r="B171" s="115"/>
      <c r="C171" s="116"/>
      <c r="D171" s="113"/>
      <c r="E171" s="113"/>
    </row>
    <row r="172" spans="2:5" ht="16" customHeight="1" x14ac:dyDescent="0.2">
      <c r="B172" s="115"/>
      <c r="C172" s="116"/>
      <c r="D172" s="113"/>
      <c r="E172" s="113"/>
    </row>
    <row r="173" spans="2:5" ht="16" customHeight="1" x14ac:dyDescent="0.2">
      <c r="B173" s="115"/>
      <c r="C173" s="116"/>
      <c r="D173" s="113"/>
      <c r="E173" s="113"/>
    </row>
    <row r="174" spans="2:5" ht="16" customHeight="1" x14ac:dyDescent="0.2">
      <c r="B174" s="115"/>
      <c r="C174" s="116"/>
      <c r="D174" s="113"/>
      <c r="E174" s="113"/>
    </row>
    <row r="175" spans="2:5" ht="16" customHeight="1" x14ac:dyDescent="0.2">
      <c r="B175" s="115"/>
      <c r="C175" s="116"/>
      <c r="D175" s="113"/>
      <c r="E175" s="113"/>
    </row>
    <row r="176" spans="2:5" ht="16" customHeight="1" x14ac:dyDescent="0.2">
      <c r="B176" s="115"/>
      <c r="C176" s="116"/>
      <c r="D176" s="113"/>
      <c r="E176" s="113"/>
    </row>
    <row r="177" spans="2:5" ht="16" customHeight="1" x14ac:dyDescent="0.2">
      <c r="B177" s="115"/>
      <c r="C177" s="116"/>
      <c r="D177" s="113"/>
      <c r="E177" s="113"/>
    </row>
    <row r="178" spans="2:5" ht="16" customHeight="1" x14ac:dyDescent="0.2">
      <c r="B178" s="115"/>
      <c r="C178" s="116"/>
      <c r="D178" s="113"/>
      <c r="E178" s="113"/>
    </row>
    <row r="179" spans="2:5" ht="16" customHeight="1" x14ac:dyDescent="0.2">
      <c r="B179" s="115"/>
      <c r="C179" s="116"/>
      <c r="D179" s="113"/>
      <c r="E179" s="113"/>
    </row>
    <row r="180" spans="2:5" ht="16" customHeight="1" x14ac:dyDescent="0.2">
      <c r="B180" s="115"/>
      <c r="C180" s="116"/>
      <c r="D180" s="113"/>
      <c r="E180" s="113"/>
    </row>
    <row r="181" spans="2:5" ht="16" customHeight="1" x14ac:dyDescent="0.2">
      <c r="B181" s="115"/>
      <c r="C181" s="116"/>
      <c r="D181" s="113"/>
      <c r="E181" s="113"/>
    </row>
    <row r="182" spans="2:5" ht="16" customHeight="1" x14ac:dyDescent="0.2">
      <c r="B182" s="117"/>
      <c r="C182" s="118"/>
    </row>
    <row r="183" spans="2:5" ht="16" customHeight="1" x14ac:dyDescent="0.2">
      <c r="B183" s="119"/>
      <c r="C183" s="119"/>
    </row>
    <row r="184" spans="2:5" ht="16" customHeight="1" x14ac:dyDescent="0.2">
      <c r="B184" s="119"/>
      <c r="C184" s="119"/>
    </row>
    <row r="185" spans="2:5" ht="16" customHeight="1" x14ac:dyDescent="0.2">
      <c r="B185" s="119"/>
      <c r="C185" s="119"/>
    </row>
    <row r="186" spans="2:5" ht="16" customHeight="1" x14ac:dyDescent="0.2">
      <c r="B186" s="119"/>
      <c r="C186" s="119"/>
    </row>
    <row r="187" spans="2:5" ht="16" customHeight="1" x14ac:dyDescent="0.2">
      <c r="B187" s="119"/>
      <c r="C187" s="119"/>
    </row>
    <row r="188" spans="2:5" ht="16" customHeight="1" x14ac:dyDescent="0.2">
      <c r="B188" s="119"/>
      <c r="C188" s="119"/>
    </row>
    <row r="189" spans="2:5" ht="16" customHeight="1" x14ac:dyDescent="0.2">
      <c r="B189" s="119"/>
      <c r="C189" s="119"/>
    </row>
    <row r="190" spans="2:5" ht="16" customHeight="1" x14ac:dyDescent="0.2">
      <c r="B190" s="119"/>
      <c r="C190" s="119"/>
    </row>
    <row r="191" spans="2:5" ht="16" customHeight="1" x14ac:dyDescent="0.2">
      <c r="B191" s="119"/>
      <c r="C191" s="119"/>
    </row>
    <row r="192" spans="2:5" ht="16" customHeight="1" x14ac:dyDescent="0.2">
      <c r="B192" s="119"/>
      <c r="C192" s="119"/>
    </row>
    <row r="193" spans="2:3" ht="16" customHeight="1" x14ac:dyDescent="0.2">
      <c r="B193" s="119"/>
      <c r="C193" s="119"/>
    </row>
    <row r="194" spans="2:3" ht="16" customHeight="1" x14ac:dyDescent="0.2">
      <c r="B194" s="119"/>
      <c r="C194" s="119"/>
    </row>
    <row r="195" spans="2:3" ht="16" customHeight="1" x14ac:dyDescent="0.2">
      <c r="B195" s="119"/>
      <c r="C195" s="119"/>
    </row>
    <row r="196" spans="2:3" ht="16" customHeight="1" x14ac:dyDescent="0.2">
      <c r="B196" s="119"/>
      <c r="C196" s="119"/>
    </row>
    <row r="197" spans="2:3" ht="16" customHeight="1" x14ac:dyDescent="0.2">
      <c r="B197" s="119"/>
      <c r="C197" s="119"/>
    </row>
    <row r="198" spans="2:3" ht="16" customHeight="1" x14ac:dyDescent="0.2">
      <c r="B198" s="119"/>
      <c r="C198" s="119"/>
    </row>
    <row r="199" spans="2:3" ht="16" customHeight="1" x14ac:dyDescent="0.2">
      <c r="B199" s="119"/>
      <c r="C199" s="119"/>
    </row>
    <row r="200" spans="2:3" ht="16" customHeight="1" x14ac:dyDescent="0.2">
      <c r="B200" s="119"/>
      <c r="C200" s="119"/>
    </row>
    <row r="201" spans="2:3" ht="16" customHeight="1" x14ac:dyDescent="0.2">
      <c r="B201" s="119"/>
      <c r="C201" s="119"/>
    </row>
    <row r="202" spans="2:3" ht="16" customHeight="1" x14ac:dyDescent="0.2">
      <c r="B202" s="119"/>
      <c r="C202" s="119"/>
    </row>
    <row r="203" spans="2:3" ht="16" customHeight="1" x14ac:dyDescent="0.2">
      <c r="B203" s="119"/>
      <c r="C203" s="119"/>
    </row>
    <row r="204" spans="2:3" ht="16" customHeight="1" x14ac:dyDescent="0.2">
      <c r="B204" s="119"/>
      <c r="C204" s="119"/>
    </row>
    <row r="205" spans="2:3" ht="16" customHeight="1" x14ac:dyDescent="0.2">
      <c r="C205" s="119"/>
    </row>
  </sheetData>
  <hyperlinks>
    <hyperlink ref="A1" location="Index!A1" display="Index" xr:uid="{4BFFA269-8D1A-3A49-9148-C358F50F2748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AB868-F2DF-564C-9212-FD1C53C476D0}">
  <dimension ref="A1:C23"/>
  <sheetViews>
    <sheetView showGridLines="0" zoomScale="90" zoomScaleNormal="90" workbookViewId="0">
      <selection activeCell="C41" sqref="C41"/>
    </sheetView>
  </sheetViews>
  <sheetFormatPr baseColWidth="10" defaultRowHeight="11" x14ac:dyDescent="0.15"/>
  <cols>
    <col min="1" max="1" width="3" style="167" customWidth="1"/>
    <col min="2" max="16384" width="10.83203125" style="167"/>
  </cols>
  <sheetData>
    <row r="1" spans="1:3" s="169" customFormat="1" x14ac:dyDescent="0.15">
      <c r="A1" s="198" t="s">
        <v>333</v>
      </c>
    </row>
    <row r="2" spans="1:3" s="169" customFormat="1" x14ac:dyDescent="0.15">
      <c r="A2" s="169" t="str">
        <f>Cover!$B$7</f>
        <v>Discount rate estimation</v>
      </c>
    </row>
    <row r="3" spans="1:3" s="193" customFormat="1" ht="16" x14ac:dyDescent="0.2">
      <c r="A3" s="194" t="str">
        <f ca="1">MID(CELL("filename",A1),FIND("]",CELL("filename",A1))+1,255)</f>
        <v>Index</v>
      </c>
    </row>
    <row r="4" spans="1:3" x14ac:dyDescent="0.15">
      <c r="A4" s="199"/>
    </row>
    <row r="5" spans="1:3" ht="15" customHeight="1" x14ac:dyDescent="0.15">
      <c r="A5" s="199"/>
      <c r="B5" s="170" t="s">
        <v>339</v>
      </c>
      <c r="C5" s="170"/>
    </row>
    <row r="6" spans="1:3" ht="10" customHeight="1" x14ac:dyDescent="0.15"/>
    <row r="7" spans="1:3" ht="10" customHeight="1" x14ac:dyDescent="0.15">
      <c r="B7" s="167" t="s">
        <v>336</v>
      </c>
      <c r="C7" s="200" t="s">
        <v>335</v>
      </c>
    </row>
    <row r="8" spans="1:3" ht="10" customHeight="1" x14ac:dyDescent="0.15"/>
    <row r="9" spans="1:3" ht="10" customHeight="1" x14ac:dyDescent="0.15">
      <c r="B9" s="167" t="s">
        <v>52</v>
      </c>
      <c r="C9" s="200" t="s">
        <v>335</v>
      </c>
    </row>
    <row r="10" spans="1:3" ht="10" customHeight="1" x14ac:dyDescent="0.15">
      <c r="C10" s="200"/>
    </row>
    <row r="11" spans="1:3" ht="10" customHeight="1" x14ac:dyDescent="0.15">
      <c r="B11" s="167" t="s">
        <v>340</v>
      </c>
      <c r="C11" s="200" t="s">
        <v>335</v>
      </c>
    </row>
    <row r="12" spans="1:3" ht="10" customHeight="1" x14ac:dyDescent="0.15">
      <c r="C12" s="200"/>
    </row>
    <row r="13" spans="1:3" ht="10" customHeight="1" x14ac:dyDescent="0.15">
      <c r="B13" s="167" t="s">
        <v>341</v>
      </c>
      <c r="C13" s="200" t="s">
        <v>335</v>
      </c>
    </row>
    <row r="14" spans="1:3" ht="10" customHeight="1" x14ac:dyDescent="0.15">
      <c r="C14" s="200"/>
    </row>
    <row r="15" spans="1:3" ht="10" customHeight="1" x14ac:dyDescent="0.15">
      <c r="B15" s="167" t="s">
        <v>342</v>
      </c>
      <c r="C15" s="200" t="s">
        <v>335</v>
      </c>
    </row>
    <row r="16" spans="1:3" ht="10" customHeight="1" x14ac:dyDescent="0.15">
      <c r="C16" s="200"/>
    </row>
    <row r="17" spans="2:3" ht="10" customHeight="1" x14ac:dyDescent="0.15">
      <c r="B17" s="167" t="s">
        <v>343</v>
      </c>
      <c r="C17" s="200" t="s">
        <v>335</v>
      </c>
    </row>
    <row r="18" spans="2:3" ht="10" customHeight="1" x14ac:dyDescent="0.15">
      <c r="C18" s="200"/>
    </row>
    <row r="19" spans="2:3" ht="10" customHeight="1" x14ac:dyDescent="0.15">
      <c r="B19" s="167" t="s">
        <v>254</v>
      </c>
      <c r="C19" s="200" t="s">
        <v>335</v>
      </c>
    </row>
    <row r="20" spans="2:3" ht="10" customHeight="1" x14ac:dyDescent="0.15">
      <c r="C20" s="200"/>
    </row>
    <row r="21" spans="2:3" ht="10" customHeight="1" x14ac:dyDescent="0.15">
      <c r="B21" s="167" t="s">
        <v>255</v>
      </c>
      <c r="C21" s="200" t="s">
        <v>335</v>
      </c>
    </row>
    <row r="22" spans="2:3" ht="10" customHeight="1" x14ac:dyDescent="0.15">
      <c r="C22" s="200"/>
    </row>
    <row r="23" spans="2:3" ht="10" customHeight="1" x14ac:dyDescent="0.15">
      <c r="B23" s="167" t="s">
        <v>344</v>
      </c>
      <c r="C23" s="200" t="s">
        <v>335</v>
      </c>
    </row>
  </sheetData>
  <hyperlinks>
    <hyperlink ref="C7" location="Input!A1" display="Link" xr:uid="{1916EF3D-15B8-674E-864E-375D67BD9657}"/>
    <hyperlink ref="C9" location="WACC!A1" display="Link" xr:uid="{3AF1B397-0D4B-B345-AD73-812306F938D3}"/>
    <hyperlink ref="C11" location="Ke_FSI!A1" display="Link" xr:uid="{DF48E169-E725-074D-8A65-8930FC17BE6C}"/>
    <hyperlink ref="C13" location="Peers!A1" display="Link" xr:uid="{63404258-FB9E-7C42-AC1A-72176E4E2620}"/>
    <hyperlink ref="C15" location="Kd!A1" display="Link" xr:uid="{05110FDF-5801-9D4E-9DA9-66F427669DF8}"/>
    <hyperlink ref="C17" location="Tax!A1" display="Link" xr:uid="{B3328B47-8D72-C045-9153-8F1413509ADC}"/>
    <hyperlink ref="C19" location="ERP!A1" display="Link" xr:uid="{9DB5D260-020D-EF4A-AB9D-05F1193F13A1}"/>
    <hyperlink ref="C21" location="CRP!A1" display="Link" xr:uid="{C3465695-4773-B143-A387-D4DDA68F7369}"/>
    <hyperlink ref="C23" location="Inflation!A1" display="Link" xr:uid="{207C0AF2-D169-4F48-B69D-7183F83D053A}"/>
    <hyperlink ref="A1" location="Index!A1" display="Index" xr:uid="{9030B831-901B-6748-9B82-19C26F0CAFA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zoomScale="90" zoomScaleNormal="90" zoomScalePageLayoutView="90" workbookViewId="0"/>
  </sheetViews>
  <sheetFormatPr baseColWidth="10" defaultColWidth="8.83203125" defaultRowHeight="11" x14ac:dyDescent="0.15"/>
  <cols>
    <col min="1" max="1" width="3" style="169" customWidth="1"/>
    <col min="2" max="2" width="25.6640625" style="169" customWidth="1"/>
    <col min="3" max="3" width="20.6640625" style="169" customWidth="1"/>
    <col min="4" max="4" width="19" style="169" bestFit="1" customWidth="1"/>
    <col min="5" max="5" width="2.6640625" style="169" customWidth="1"/>
    <col min="6" max="6" width="25.6640625" style="169" customWidth="1"/>
    <col min="7" max="7" width="20.6640625" style="169" customWidth="1"/>
    <col min="8" max="8" width="19.5" style="169" bestFit="1" customWidth="1"/>
    <col min="9" max="9" width="2.33203125" style="169" customWidth="1"/>
    <col min="10" max="10" width="25.6640625" style="169" customWidth="1"/>
    <col min="11" max="11" width="19.33203125" style="169" customWidth="1"/>
    <col min="12" max="16384" width="8.83203125" style="169"/>
  </cols>
  <sheetData>
    <row r="1" spans="1:11" x14ac:dyDescent="0.15">
      <c r="A1" s="198" t="s">
        <v>333</v>
      </c>
    </row>
    <row r="2" spans="1:11" x14ac:dyDescent="0.15">
      <c r="A2" s="169" t="str">
        <f>Cover!$B$7</f>
        <v>Discount rate estimation</v>
      </c>
    </row>
    <row r="3" spans="1:11" s="193" customFormat="1" ht="16" x14ac:dyDescent="0.2">
      <c r="A3" s="194" t="str">
        <f ca="1">MID(CELL("filename",A1),FIND("]",CELL("filename",A1))+1,255)</f>
        <v>Input</v>
      </c>
    </row>
    <row r="4" spans="1:11" x14ac:dyDescent="0.15">
      <c r="A4" s="168"/>
    </row>
    <row r="5" spans="1:11" ht="15" customHeight="1" x14ac:dyDescent="0.15">
      <c r="A5" s="168"/>
      <c r="B5" s="170" t="s">
        <v>2</v>
      </c>
      <c r="C5" s="170"/>
      <c r="D5" s="170"/>
      <c r="E5" s="90"/>
      <c r="F5" s="170" t="s">
        <v>3</v>
      </c>
      <c r="G5" s="170"/>
      <c r="H5" s="170"/>
      <c r="J5" s="170" t="s">
        <v>312</v>
      </c>
      <c r="K5" s="170"/>
    </row>
    <row r="6" spans="1:11" x14ac:dyDescent="0.15">
      <c r="A6" s="168"/>
    </row>
    <row r="7" spans="1:11" x14ac:dyDescent="0.15">
      <c r="A7" s="168"/>
      <c r="B7" s="171" t="s">
        <v>4</v>
      </c>
      <c r="C7" s="172" t="s">
        <v>5</v>
      </c>
      <c r="D7" s="173" t="s">
        <v>311</v>
      </c>
      <c r="F7" s="171" t="s">
        <v>319</v>
      </c>
      <c r="G7" s="174" t="s">
        <v>247</v>
      </c>
      <c r="H7" s="173" t="s">
        <v>309</v>
      </c>
      <c r="J7" s="175" t="s">
        <v>313</v>
      </c>
      <c r="K7" s="173" t="s">
        <v>314</v>
      </c>
    </row>
    <row r="8" spans="1:11" x14ac:dyDescent="0.15">
      <c r="A8" s="168"/>
    </row>
    <row r="9" spans="1:11" x14ac:dyDescent="0.15">
      <c r="A9" s="168"/>
      <c r="B9" s="171" t="s">
        <v>6</v>
      </c>
      <c r="C9" s="176">
        <v>44196</v>
      </c>
      <c r="D9" s="173" t="s">
        <v>311</v>
      </c>
      <c r="E9" s="168"/>
      <c r="F9" s="171" t="s">
        <v>320</v>
      </c>
      <c r="G9" s="177" t="s">
        <v>317</v>
      </c>
      <c r="H9" s="173" t="s">
        <v>311</v>
      </c>
    </row>
    <row r="10" spans="1:11" x14ac:dyDescent="0.15">
      <c r="A10" s="168"/>
      <c r="E10" s="168"/>
    </row>
    <row r="11" spans="1:11" x14ac:dyDescent="0.15">
      <c r="A11" s="168"/>
      <c r="B11" s="171" t="s">
        <v>7</v>
      </c>
      <c r="C11" s="178" t="s">
        <v>298</v>
      </c>
      <c r="D11" s="173" t="s">
        <v>311</v>
      </c>
      <c r="E11" s="168"/>
      <c r="F11" s="179" t="s">
        <v>325</v>
      </c>
      <c r="G11" s="174" t="s">
        <v>322</v>
      </c>
      <c r="H11" s="173" t="s">
        <v>309</v>
      </c>
    </row>
    <row r="12" spans="1:11" x14ac:dyDescent="0.15">
      <c r="A12" s="168"/>
      <c r="E12" s="168"/>
    </row>
    <row r="13" spans="1:11" x14ac:dyDescent="0.15">
      <c r="A13" s="168"/>
      <c r="B13" s="171" t="s">
        <v>299</v>
      </c>
      <c r="C13" s="178" t="s">
        <v>297</v>
      </c>
      <c r="D13" s="173" t="s">
        <v>311</v>
      </c>
      <c r="E13" s="168"/>
      <c r="F13" s="179" t="s">
        <v>321</v>
      </c>
      <c r="G13" s="180" t="s">
        <v>323</v>
      </c>
      <c r="H13" s="173" t="s">
        <v>309</v>
      </c>
    </row>
    <row r="14" spans="1:11" x14ac:dyDescent="0.15">
      <c r="A14" s="168"/>
      <c r="E14" s="168"/>
    </row>
    <row r="15" spans="1:11" x14ac:dyDescent="0.15">
      <c r="A15" s="168"/>
      <c r="B15" s="171" t="s">
        <v>8</v>
      </c>
      <c r="C15" s="181"/>
      <c r="D15" s="173" t="s">
        <v>293</v>
      </c>
      <c r="E15" s="168"/>
      <c r="F15" s="171" t="s">
        <v>254</v>
      </c>
      <c r="G15" s="182"/>
      <c r="H15" s="173" t="s">
        <v>294</v>
      </c>
    </row>
    <row r="16" spans="1:11" x14ac:dyDescent="0.15">
      <c r="A16" s="168"/>
      <c r="E16" s="168"/>
    </row>
    <row r="17" spans="1:8" x14ac:dyDescent="0.15">
      <c r="A17" s="168"/>
      <c r="B17" s="171" t="s">
        <v>248</v>
      </c>
      <c r="C17" s="183" t="s">
        <v>249</v>
      </c>
      <c r="D17" s="173" t="s">
        <v>309</v>
      </c>
      <c r="E17" s="168"/>
      <c r="F17" s="171" t="s">
        <v>255</v>
      </c>
      <c r="G17" s="182"/>
      <c r="H17" s="173" t="s">
        <v>295</v>
      </c>
    </row>
    <row r="18" spans="1:8" x14ac:dyDescent="0.15">
      <c r="A18" s="168"/>
      <c r="E18" s="168"/>
    </row>
    <row r="19" spans="1:8" x14ac:dyDescent="0.15">
      <c r="A19" s="168"/>
      <c r="B19" s="171" t="s">
        <v>296</v>
      </c>
      <c r="C19" s="184">
        <v>0.1</v>
      </c>
      <c r="D19" s="173" t="s">
        <v>311</v>
      </c>
      <c r="E19" s="168"/>
      <c r="F19" s="171" t="s">
        <v>56</v>
      </c>
      <c r="G19" s="185">
        <v>0</v>
      </c>
      <c r="H19" s="173" t="s">
        <v>311</v>
      </c>
    </row>
    <row r="20" spans="1:8" x14ac:dyDescent="0.15">
      <c r="A20" s="168"/>
      <c r="E20" s="168"/>
    </row>
    <row r="21" spans="1:8" ht="12.75" customHeight="1" x14ac:dyDescent="0.15">
      <c r="A21" s="168"/>
      <c r="B21" s="168"/>
      <c r="C21" s="168"/>
      <c r="D21" s="186"/>
      <c r="E21" s="168"/>
      <c r="F21" s="171" t="s">
        <v>57</v>
      </c>
      <c r="G21" s="185">
        <v>0</v>
      </c>
      <c r="H21" s="173" t="s">
        <v>311</v>
      </c>
    </row>
    <row r="22" spans="1:8" x14ac:dyDescent="0.15">
      <c r="A22" s="168"/>
      <c r="B22" s="168"/>
      <c r="C22" s="168"/>
      <c r="D22" s="168"/>
      <c r="E22" s="168"/>
    </row>
    <row r="23" spans="1:8" x14ac:dyDescent="0.15">
      <c r="F23" s="171" t="s">
        <v>51</v>
      </c>
      <c r="G23" s="187" t="s">
        <v>6</v>
      </c>
      <c r="H23" s="173" t="s">
        <v>309</v>
      </c>
    </row>
  </sheetData>
  <dataValidations count="5">
    <dataValidation type="list" allowBlank="1" showInputMessage="1" showErrorMessage="1" sqref="C17" xr:uid="{00000000-0002-0000-0000-000000000000}">
      <formula1>"2Y weekly,2Y monthly,5Y weekly,5Y monthly"</formula1>
    </dataValidation>
    <dataValidation type="list" allowBlank="1" showInputMessage="1" showErrorMessage="1" sqref="G23" xr:uid="{00000000-0002-0000-0000-000001000000}">
      <formula1>"Valuation date,Projection average"</formula1>
    </dataValidation>
    <dataValidation type="list" allowBlank="1" showInputMessage="1" showErrorMessage="1" sqref="G7" xr:uid="{00000000-0002-0000-0000-000002000000}">
      <formula1>"Yes,No"</formula1>
    </dataValidation>
    <dataValidation type="list" allowBlank="1" showInputMessage="1" showErrorMessage="1" sqref="G11" xr:uid="{00000000-0002-0000-0000-000003000000}">
      <formula1>"5Y,10Y,20Y,30Y"</formula1>
    </dataValidation>
    <dataValidation type="list" allowBlank="1" showInputMessage="1" showErrorMessage="1" sqref="G13" xr:uid="{00000000-0002-0000-0000-000004000000}">
      <formula1>"Spot,3mo average,6mo average,12M average"</formula1>
    </dataValidation>
  </dataValidations>
  <hyperlinks>
    <hyperlink ref="A1" location="Index!A1" display="Index" xr:uid="{F9648181-D2A5-5E42-8BB4-7A225D7FF539}"/>
  </hyperlink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44"/>
  <sheetViews>
    <sheetView showGridLines="0" zoomScale="90" zoomScaleNormal="90" zoomScalePageLayoutView="90" workbookViewId="0"/>
  </sheetViews>
  <sheetFormatPr baseColWidth="10" defaultRowHeight="16" outlineLevelRow="1" x14ac:dyDescent="0.2"/>
  <cols>
    <col min="1" max="1" width="3.6640625" style="71" customWidth="1"/>
    <col min="2" max="2" width="2.33203125" style="71" customWidth="1"/>
    <col min="3" max="3" width="29.1640625" style="71" bestFit="1" customWidth="1"/>
    <col min="4" max="16384" width="10.83203125" style="71"/>
  </cols>
  <sheetData>
    <row r="1" spans="1:4" s="169" customFormat="1" ht="11" x14ac:dyDescent="0.15">
      <c r="A1" s="198" t="s">
        <v>333</v>
      </c>
    </row>
    <row r="2" spans="1:4" s="169" customFormat="1" ht="11" x14ac:dyDescent="0.15">
      <c r="A2" s="169" t="str">
        <f>Cover!$B$7</f>
        <v>Discount rate estimation</v>
      </c>
    </row>
    <row r="3" spans="1:4" s="193" customFormat="1" x14ac:dyDescent="0.2">
      <c r="A3" s="194" t="str">
        <f ca="1">MID(CELL("filename",A1),FIND("]",CELL("filename",A1))+1,255)</f>
        <v>WACC</v>
      </c>
    </row>
    <row r="4" spans="1:4" ht="16" customHeight="1" x14ac:dyDescent="0.2"/>
    <row r="5" spans="1:4" x14ac:dyDescent="0.2">
      <c r="B5" s="3" t="str">
        <f>"WACC - "&amp;Input!$C$7</f>
        <v>WACC - Name</v>
      </c>
      <c r="C5" s="4"/>
      <c r="D5" s="5"/>
    </row>
    <row r="6" spans="1:4" x14ac:dyDescent="0.2">
      <c r="B6" s="191">
        <f>Input!$C$9</f>
        <v>44196</v>
      </c>
      <c r="C6" s="192"/>
      <c r="D6" s="19"/>
    </row>
    <row r="7" spans="1:4" x14ac:dyDescent="0.2">
      <c r="B7" s="24" t="s">
        <v>0</v>
      </c>
      <c r="C7" s="25"/>
      <c r="D7" s="7"/>
    </row>
    <row r="8" spans="1:4" outlineLevel="1" x14ac:dyDescent="0.2">
      <c r="B8" s="11"/>
      <c r="C8" s="17" t="str">
        <f>Input!G11&amp;" "&amp;Input!G9&amp;" Risk free rate ("&amp;Input!G13&amp;")"</f>
        <v>20Y USA Risk free rate (12M average)</v>
      </c>
      <c r="D8" s="133"/>
    </row>
    <row r="9" spans="1:4" outlineLevel="1" x14ac:dyDescent="0.2">
      <c r="B9" s="11"/>
      <c r="C9" s="11" t="s">
        <v>44</v>
      </c>
      <c r="D9" s="12">
        <f>IF(Input!$G$7="Y",Inflation!$J$8,0)</f>
        <v>0</v>
      </c>
    </row>
    <row r="10" spans="1:4" outlineLevel="1" x14ac:dyDescent="0.2">
      <c r="B10" s="11"/>
      <c r="C10" s="14" t="s">
        <v>45</v>
      </c>
      <c r="D10" s="1">
        <f>IF(Input!$G$7="Y",Input!$G$17,0)</f>
        <v>0</v>
      </c>
    </row>
    <row r="11" spans="1:4" x14ac:dyDescent="0.2">
      <c r="B11" s="8" t="s">
        <v>46</v>
      </c>
      <c r="C11" s="2"/>
      <c r="D11" s="10">
        <f>SUM(D8:D10)</f>
        <v>0</v>
      </c>
    </row>
    <row r="12" spans="1:4" ht="9" customHeight="1" x14ac:dyDescent="0.2">
      <c r="B12" s="11"/>
      <c r="C12" s="9"/>
      <c r="D12" s="7"/>
    </row>
    <row r="13" spans="1:4" x14ac:dyDescent="0.2">
      <c r="B13" s="11"/>
      <c r="C13" s="17" t="str">
        <f>"Adj. unlevered beta ("&amp;Input!C17&amp;" average)"</f>
        <v>Adj. unlevered beta (2Y monthly average)</v>
      </c>
      <c r="D13" s="21">
        <f>Peers!$N$33</f>
        <v>0.81675541479531222</v>
      </c>
    </row>
    <row r="14" spans="1:4" x14ac:dyDescent="0.2">
      <c r="B14" s="11"/>
      <c r="C14" s="11" t="s">
        <v>60</v>
      </c>
      <c r="D14" s="12">
        <f>Peers!$J$33</f>
        <v>0.2711824903307416</v>
      </c>
    </row>
    <row r="15" spans="1:4" x14ac:dyDescent="0.2">
      <c r="B15" s="11"/>
      <c r="C15" s="14" t="s">
        <v>8</v>
      </c>
      <c r="D15" s="16">
        <f>Input!$C$15</f>
        <v>0</v>
      </c>
    </row>
    <row r="16" spans="1:4" x14ac:dyDescent="0.2">
      <c r="B16" s="8" t="s">
        <v>47</v>
      </c>
      <c r="C16" s="11"/>
      <c r="D16" s="160">
        <f>D13*(1+(1-D15)*(D14))</f>
        <v>1.0382451821706229</v>
      </c>
    </row>
    <row r="17" spans="2:4" ht="9" customHeight="1" x14ac:dyDescent="0.2">
      <c r="B17" s="8"/>
      <c r="C17" s="9"/>
      <c r="D17" s="28"/>
    </row>
    <row r="18" spans="2:4" x14ac:dyDescent="0.2">
      <c r="B18" s="8"/>
      <c r="C18" s="17" t="s">
        <v>300</v>
      </c>
      <c r="D18" s="20">
        <f>Input!$G$15</f>
        <v>0</v>
      </c>
    </row>
    <row r="19" spans="2:4" x14ac:dyDescent="0.2">
      <c r="B19" s="8"/>
      <c r="C19" s="14" t="s">
        <v>61</v>
      </c>
      <c r="D19" s="16">
        <f>D11</f>
        <v>0</v>
      </c>
    </row>
    <row r="20" spans="2:4" x14ac:dyDescent="0.2">
      <c r="B20" s="8" t="s">
        <v>48</v>
      </c>
      <c r="C20" s="11"/>
      <c r="D20" s="10">
        <f>D18-D19</f>
        <v>0</v>
      </c>
    </row>
    <row r="21" spans="2:4" ht="9" customHeight="1" x14ac:dyDescent="0.2">
      <c r="B21" s="11"/>
      <c r="C21" s="9"/>
      <c r="D21" s="7"/>
    </row>
    <row r="22" spans="2:4" outlineLevel="1" x14ac:dyDescent="0.2">
      <c r="B22" s="8"/>
      <c r="C22" s="72" t="s">
        <v>56</v>
      </c>
      <c r="D22" s="20">
        <f>Input!$G$19</f>
        <v>0</v>
      </c>
    </row>
    <row r="23" spans="2:4" outlineLevel="1" x14ac:dyDescent="0.2">
      <c r="B23" s="8"/>
      <c r="C23" s="73" t="s">
        <v>57</v>
      </c>
      <c r="D23" s="16">
        <f>Input!$G$21</f>
        <v>0</v>
      </c>
    </row>
    <row r="24" spans="2:4" outlineLevel="1" x14ac:dyDescent="0.2">
      <c r="B24" s="8" t="s">
        <v>324</v>
      </c>
      <c r="C24" s="2"/>
      <c r="D24" s="10">
        <f>SUM(D22:D23)</f>
        <v>0</v>
      </c>
    </row>
    <row r="25" spans="2:4" ht="9" customHeight="1" outlineLevel="1" x14ac:dyDescent="0.2">
      <c r="B25" s="11"/>
      <c r="C25" s="9"/>
      <c r="D25" s="12"/>
    </row>
    <row r="26" spans="2:4" x14ac:dyDescent="0.2">
      <c r="B26" s="18" t="s">
        <v>49</v>
      </c>
      <c r="C26" s="26"/>
      <c r="D26" s="19">
        <f>SUM(D11,D16*D20,D24)</f>
        <v>0</v>
      </c>
    </row>
    <row r="27" spans="2:4" x14ac:dyDescent="0.2">
      <c r="B27" s="8"/>
      <c r="C27" s="2"/>
      <c r="D27" s="10"/>
    </row>
    <row r="28" spans="2:4" x14ac:dyDescent="0.2">
      <c r="B28" s="24" t="s">
        <v>50</v>
      </c>
      <c r="C28" s="6"/>
      <c r="D28" s="7"/>
    </row>
    <row r="29" spans="2:4" x14ac:dyDescent="0.2">
      <c r="B29" s="8" t="s">
        <v>51</v>
      </c>
      <c r="C29" s="2"/>
      <c r="D29" s="10">
        <f>IF(Input!$G$23="Valuation date",Kd!$D$16,IF(Input!$G$23="Projection average",Kd!$J$16,"n.a."))</f>
        <v>3.0612244897959183E-2</v>
      </c>
    </row>
    <row r="30" spans="2:4" x14ac:dyDescent="0.2">
      <c r="B30" s="11"/>
      <c r="C30" s="9" t="s">
        <v>8</v>
      </c>
      <c r="D30" s="12">
        <f>D15</f>
        <v>0</v>
      </c>
    </row>
    <row r="31" spans="2:4" x14ac:dyDescent="0.2">
      <c r="B31" s="18" t="s">
        <v>58</v>
      </c>
      <c r="C31" s="26"/>
      <c r="D31" s="19">
        <f>D29*(1-D30)</f>
        <v>3.0612244897959183E-2</v>
      </c>
    </row>
    <row r="32" spans="2:4" x14ac:dyDescent="0.2">
      <c r="B32" s="8"/>
      <c r="C32" s="2"/>
      <c r="D32" s="10"/>
    </row>
    <row r="33" spans="1:4" x14ac:dyDescent="0.2">
      <c r="B33" s="24" t="s">
        <v>52</v>
      </c>
      <c r="C33" s="6"/>
      <c r="D33" s="7"/>
    </row>
    <row r="34" spans="1:4" x14ac:dyDescent="0.2">
      <c r="B34" s="8" t="s">
        <v>55</v>
      </c>
      <c r="C34" s="9"/>
      <c r="D34" s="13"/>
    </row>
    <row r="35" spans="1:4" x14ac:dyDescent="0.2">
      <c r="B35" s="11"/>
      <c r="C35" s="9" t="s">
        <v>53</v>
      </c>
      <c r="D35" s="12">
        <f>D14/(1+D14)</f>
        <v>0.21333088867530278</v>
      </c>
    </row>
    <row r="36" spans="1:4" x14ac:dyDescent="0.2">
      <c r="B36" s="14"/>
      <c r="C36" s="15" t="s">
        <v>54</v>
      </c>
      <c r="D36" s="16">
        <f>1-D35</f>
        <v>0.78666911132469719</v>
      </c>
    </row>
    <row r="37" spans="1:4" x14ac:dyDescent="0.2">
      <c r="A37" s="95"/>
      <c r="B37" s="8" t="s">
        <v>59</v>
      </c>
      <c r="C37" s="9"/>
      <c r="D37" s="13"/>
    </row>
    <row r="38" spans="1:4" x14ac:dyDescent="0.2">
      <c r="B38" s="11"/>
      <c r="C38" s="9" t="s">
        <v>53</v>
      </c>
      <c r="D38" s="12">
        <f>D31*D35</f>
        <v>6.5305374084276358E-3</v>
      </c>
    </row>
    <row r="39" spans="1:4" x14ac:dyDescent="0.2">
      <c r="B39" s="11"/>
      <c r="C39" s="9" t="s">
        <v>54</v>
      </c>
      <c r="D39" s="16">
        <f>D26*D36</f>
        <v>0</v>
      </c>
    </row>
    <row r="40" spans="1:4" ht="17" thickBot="1" x14ac:dyDescent="0.25">
      <c r="B40" s="22" t="s">
        <v>250</v>
      </c>
      <c r="C40" s="27"/>
      <c r="D40" s="23">
        <f>SUM(D38:D39)</f>
        <v>6.5305374084276358E-3</v>
      </c>
    </row>
    <row r="41" spans="1:4" x14ac:dyDescent="0.2">
      <c r="B41" s="74"/>
      <c r="C41" s="74"/>
      <c r="D41" s="74"/>
    </row>
    <row r="42" spans="1:4" x14ac:dyDescent="0.2">
      <c r="B42" s="75"/>
      <c r="C42" s="74"/>
      <c r="D42" s="74"/>
    </row>
    <row r="43" spans="1:4" x14ac:dyDescent="0.2">
      <c r="B43" s="74"/>
      <c r="C43" s="74"/>
      <c r="D43" s="76"/>
    </row>
    <row r="44" spans="1:4" x14ac:dyDescent="0.2">
      <c r="B44" s="74"/>
      <c r="C44" s="74"/>
      <c r="D44" s="77"/>
    </row>
  </sheetData>
  <mergeCells count="1">
    <mergeCell ref="B6:C6"/>
  </mergeCells>
  <hyperlinks>
    <hyperlink ref="A1" location="Index!A1" display="Index" xr:uid="{D3663732-0C5C-454A-96EE-3D23F40F9CAE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showGridLines="0" zoomScale="90" zoomScaleNormal="90" zoomScalePageLayoutView="90" workbookViewId="0"/>
  </sheetViews>
  <sheetFormatPr baseColWidth="10" defaultRowHeight="16" outlineLevelRow="1" x14ac:dyDescent="0.2"/>
  <cols>
    <col min="1" max="1" width="3.6640625" style="71" customWidth="1"/>
    <col min="2" max="2" width="2.33203125" style="71" customWidth="1"/>
    <col min="3" max="3" width="29.1640625" style="71" bestFit="1" customWidth="1"/>
    <col min="4" max="16384" width="10.83203125" style="71"/>
  </cols>
  <sheetData>
    <row r="1" spans="1:4" s="169" customFormat="1" ht="11" x14ac:dyDescent="0.15">
      <c r="A1" s="198" t="s">
        <v>333</v>
      </c>
    </row>
    <row r="2" spans="1:4" s="169" customFormat="1" ht="11" x14ac:dyDescent="0.15">
      <c r="A2" s="169" t="str">
        <f>Cover!$B$7</f>
        <v>Discount rate estimation</v>
      </c>
    </row>
    <row r="3" spans="1:4" s="193" customFormat="1" x14ac:dyDescent="0.2">
      <c r="A3" s="194" t="str">
        <f ca="1">MID(CELL("filename",A1),FIND("]",CELL("filename",A1))+1,255)</f>
        <v>Ke_FSI</v>
      </c>
    </row>
    <row r="4" spans="1:4" ht="16" customHeight="1" x14ac:dyDescent="0.2"/>
    <row r="5" spans="1:4" x14ac:dyDescent="0.2">
      <c r="B5" s="3" t="str">
        <f>"Cost of equity - "&amp;Input!$C$7</f>
        <v>Cost of equity - Name</v>
      </c>
      <c r="C5" s="4"/>
      <c r="D5" s="5"/>
    </row>
    <row r="6" spans="1:4" x14ac:dyDescent="0.2">
      <c r="B6" s="191">
        <f>Input!$C$9</f>
        <v>44196</v>
      </c>
      <c r="C6" s="192"/>
      <c r="D6" s="19"/>
    </row>
    <row r="7" spans="1:4" x14ac:dyDescent="0.2">
      <c r="B7" s="24" t="s">
        <v>0</v>
      </c>
      <c r="C7" s="25"/>
      <c r="D7" s="7"/>
    </row>
    <row r="8" spans="1:4" outlineLevel="1" x14ac:dyDescent="0.2">
      <c r="B8" s="11"/>
      <c r="C8" s="17" t="str">
        <f>Input!G11&amp;" "&amp;Input!G9&amp;" Risk free rate ("&amp;Input!G13&amp;")"</f>
        <v>20Y USA Risk free rate (12M average)</v>
      </c>
      <c r="D8" s="133"/>
    </row>
    <row r="9" spans="1:4" outlineLevel="1" x14ac:dyDescent="0.2">
      <c r="B9" s="11"/>
      <c r="C9" s="11" t="s">
        <v>44</v>
      </c>
      <c r="D9" s="12">
        <f>IF(Input!$G$7="Y",Inflation!$J$8,0)</f>
        <v>0</v>
      </c>
    </row>
    <row r="10" spans="1:4" outlineLevel="1" x14ac:dyDescent="0.2">
      <c r="B10" s="11"/>
      <c r="C10" s="14" t="s">
        <v>45</v>
      </c>
      <c r="D10" s="1">
        <f>IF(Input!$G$7="Y",Input!$G$17,0)</f>
        <v>0</v>
      </c>
    </row>
    <row r="11" spans="1:4" x14ac:dyDescent="0.2">
      <c r="B11" s="8" t="s">
        <v>46</v>
      </c>
      <c r="C11" s="2"/>
      <c r="D11" s="10">
        <f>SUM(D8:D10)</f>
        <v>0</v>
      </c>
    </row>
    <row r="12" spans="1:4" ht="9" customHeight="1" x14ac:dyDescent="0.2">
      <c r="B12" s="11"/>
      <c r="C12" s="9"/>
      <c r="D12" s="7"/>
    </row>
    <row r="13" spans="1:4" x14ac:dyDescent="0.2">
      <c r="B13" s="8" t="str">
        <f>"Adj. levered beta ("&amp;Input!C17&amp;" average)"</f>
        <v>Adj. levered beta (2Y monthly average)</v>
      </c>
      <c r="C13" s="11"/>
      <c r="D13" s="160">
        <f>Peers!$L$33</f>
        <v>0.92</v>
      </c>
    </row>
    <row r="14" spans="1:4" ht="9" customHeight="1" x14ac:dyDescent="0.2">
      <c r="B14" s="8"/>
      <c r="C14" s="9"/>
      <c r="D14" s="28"/>
    </row>
    <row r="15" spans="1:4" x14ac:dyDescent="0.2">
      <c r="B15" s="8"/>
      <c r="C15" s="17" t="s">
        <v>300</v>
      </c>
      <c r="D15" s="20">
        <f>Input!$G$15</f>
        <v>0</v>
      </c>
    </row>
    <row r="16" spans="1:4" x14ac:dyDescent="0.2">
      <c r="B16" s="8"/>
      <c r="C16" s="14" t="s">
        <v>61</v>
      </c>
      <c r="D16" s="16">
        <f>D11</f>
        <v>0</v>
      </c>
    </row>
    <row r="17" spans="2:4" x14ac:dyDescent="0.2">
      <c r="B17" s="8" t="s">
        <v>48</v>
      </c>
      <c r="C17" s="11"/>
      <c r="D17" s="10">
        <f>D15-D16</f>
        <v>0</v>
      </c>
    </row>
    <row r="18" spans="2:4" ht="9" customHeight="1" x14ac:dyDescent="0.2">
      <c r="B18" s="11"/>
      <c r="C18" s="9"/>
      <c r="D18" s="7"/>
    </row>
    <row r="19" spans="2:4" outlineLevel="1" x14ac:dyDescent="0.2">
      <c r="B19" s="8"/>
      <c r="C19" s="72" t="s">
        <v>56</v>
      </c>
      <c r="D19" s="20">
        <f>Input!$G$19</f>
        <v>0</v>
      </c>
    </row>
    <row r="20" spans="2:4" outlineLevel="1" x14ac:dyDescent="0.2">
      <c r="B20" s="8"/>
      <c r="C20" s="73" t="s">
        <v>57</v>
      </c>
      <c r="D20" s="16">
        <f>Input!$G$21</f>
        <v>0</v>
      </c>
    </row>
    <row r="21" spans="2:4" outlineLevel="1" x14ac:dyDescent="0.2">
      <c r="B21" s="8" t="s">
        <v>324</v>
      </c>
      <c r="C21" s="2"/>
      <c r="D21" s="10">
        <f>SUM(D19:D20)</f>
        <v>0</v>
      </c>
    </row>
    <row r="22" spans="2:4" ht="9" customHeight="1" outlineLevel="1" x14ac:dyDescent="0.2">
      <c r="B22" s="11"/>
      <c r="C22" s="9"/>
      <c r="D22" s="12"/>
    </row>
    <row r="23" spans="2:4" ht="17" thickBot="1" x14ac:dyDescent="0.25">
      <c r="B23" s="22" t="s">
        <v>49</v>
      </c>
      <c r="C23" s="27"/>
      <c r="D23" s="23">
        <f>SUM(D11,D13*D17,D21)</f>
        <v>0</v>
      </c>
    </row>
    <row r="24" spans="2:4" x14ac:dyDescent="0.2">
      <c r="B24" s="75"/>
      <c r="C24" s="74"/>
      <c r="D24" s="74"/>
    </row>
    <row r="25" spans="2:4" x14ac:dyDescent="0.2">
      <c r="B25" s="74"/>
      <c r="C25" s="74"/>
      <c r="D25" s="76"/>
    </row>
    <row r="26" spans="2:4" x14ac:dyDescent="0.2">
      <c r="B26" s="74"/>
      <c r="C26" s="74"/>
      <c r="D26" s="77"/>
    </row>
  </sheetData>
  <mergeCells count="1">
    <mergeCell ref="B6:C6"/>
  </mergeCells>
  <hyperlinks>
    <hyperlink ref="A1" location="Index!A1" display="Index" xr:uid="{E0D44C58-ABCA-714A-8414-7A9922A30AD8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N35"/>
  <sheetViews>
    <sheetView showGridLines="0" zoomScale="90" zoomScaleNormal="90" zoomScalePageLayoutView="90" workbookViewId="0">
      <selection activeCell="E7" sqref="E7"/>
    </sheetView>
  </sheetViews>
  <sheetFormatPr baseColWidth="10" defaultRowHeight="16" customHeight="1" x14ac:dyDescent="0.15"/>
  <cols>
    <col min="1" max="1" width="3.6640625" style="167" customWidth="1"/>
    <col min="2" max="2" width="17.5" style="167" bestFit="1" customWidth="1"/>
    <col min="3" max="6" width="10.83203125" style="167"/>
    <col min="7" max="7" width="9.83203125" style="167" customWidth="1"/>
    <col min="8" max="10" width="10.83203125" style="167"/>
    <col min="11" max="11" width="14.33203125" style="167" bestFit="1" customWidth="1"/>
    <col min="12" max="12" width="10.5" style="167" customWidth="1"/>
    <col min="13" max="13" width="10.83203125" style="167"/>
    <col min="14" max="14" width="12.33203125" style="167" customWidth="1"/>
    <col min="15" max="16384" width="10.83203125" style="167"/>
  </cols>
  <sheetData>
    <row r="1" spans="1:14" s="169" customFormat="1" ht="11" x14ac:dyDescent="0.15">
      <c r="A1" s="198" t="s">
        <v>333</v>
      </c>
    </row>
    <row r="2" spans="1:14" s="169" customFormat="1" ht="11" x14ac:dyDescent="0.15">
      <c r="A2" s="169" t="str">
        <f>Cover!$B$7</f>
        <v>Discount rate estimation</v>
      </c>
    </row>
    <row r="3" spans="1:14" s="193" customFormat="1" x14ac:dyDescent="0.2">
      <c r="A3" s="194" t="str">
        <f ca="1">MID(CELL("filename",A1),FIND("]",CELL("filename",A1))+1,255)</f>
        <v>Peers</v>
      </c>
    </row>
    <row r="5" spans="1:14" ht="16" customHeight="1" x14ac:dyDescent="0.15">
      <c r="B5" s="164" t="s">
        <v>310</v>
      </c>
      <c r="C5" s="165"/>
      <c r="D5" s="165"/>
      <c r="E5" s="165"/>
      <c r="F5" s="166"/>
      <c r="G5" s="165"/>
      <c r="H5" s="165"/>
      <c r="I5" s="165"/>
      <c r="J5" s="31"/>
      <c r="K5" s="165"/>
      <c r="L5" s="165"/>
      <c r="M5" s="32"/>
      <c r="N5" s="32"/>
    </row>
    <row r="6" spans="1:14" ht="40" customHeight="1" x14ac:dyDescent="0.15">
      <c r="B6" s="33" t="s">
        <v>9</v>
      </c>
      <c r="C6" s="161" t="s">
        <v>10</v>
      </c>
      <c r="D6" s="188" t="s">
        <v>330</v>
      </c>
      <c r="E6" s="188" t="s">
        <v>43</v>
      </c>
      <c r="F6" s="189" t="s">
        <v>331</v>
      </c>
      <c r="G6" s="188" t="s">
        <v>11</v>
      </c>
      <c r="H6" s="188" t="str">
        <f>"Market cap ("&amp;Input!$C$11&amp;Input!$C$13&amp;")"</f>
        <v>Market cap (USDm)</v>
      </c>
      <c r="I6" s="188" t="str">
        <f>"Total debt ("&amp;Input!$C$11&amp;Input!$C$13&amp;")"</f>
        <v>Total debt (USDm)</v>
      </c>
      <c r="J6" s="189" t="s">
        <v>13</v>
      </c>
      <c r="K6" s="188" t="str">
        <f>"Levered beta ("&amp;Input!$C$17&amp;" average)"</f>
        <v>Levered beta (2Y monthly average)</v>
      </c>
      <c r="L6" s="188" t="s">
        <v>328</v>
      </c>
      <c r="M6" s="189" t="s">
        <v>1</v>
      </c>
      <c r="N6" s="190" t="s">
        <v>329</v>
      </c>
    </row>
    <row r="7" spans="1:14" ht="16" customHeight="1" x14ac:dyDescent="0.15">
      <c r="B7" s="34" t="s">
        <v>14</v>
      </c>
      <c r="C7" s="162" t="s">
        <v>74</v>
      </c>
      <c r="D7" s="152">
        <v>0.75</v>
      </c>
      <c r="E7" s="96" t="str">
        <f>IF(D7&lt;Input!$C$19,"Exclude","Include")</f>
        <v>Include</v>
      </c>
      <c r="F7" s="29" t="s">
        <v>247</v>
      </c>
      <c r="G7" s="96">
        <f>IF(F7="Y",INDEX(Tax!$B$6:$F$189,MATCH(C7,Tax!$B$6:$B$189,0),MATCH(YEAR(Input!$C$9),Tax!$B$6:$F$6,0)),"n.a.")</f>
        <v>0.25</v>
      </c>
      <c r="H7" s="98">
        <v>1000</v>
      </c>
      <c r="I7" s="98">
        <v>300</v>
      </c>
      <c r="J7" s="96">
        <f>IF(F7="Y",IFERROR(I7/H7,"n.a."),"n.a.")</f>
        <v>0.3</v>
      </c>
      <c r="K7" s="153">
        <v>1</v>
      </c>
      <c r="L7" s="150">
        <f>IF(F7="Y",IFERROR(K7*2/3+1/3,"n.a."),"n.a.")</f>
        <v>1</v>
      </c>
      <c r="M7" s="149">
        <f t="shared" ref="M7:M31" si="0">IF(F7="Y",IFERROR(K7/(1+(J7*(1-G7))),"n.a."),"n.a.")</f>
        <v>0.81632653061224481</v>
      </c>
      <c r="N7" s="97">
        <f>IFERROR(M7*2/3+1/3,"n.a.")</f>
        <v>0.87755102040816313</v>
      </c>
    </row>
    <row r="8" spans="1:14" ht="16" customHeight="1" x14ac:dyDescent="0.15">
      <c r="B8" s="34" t="s">
        <v>15</v>
      </c>
      <c r="C8" s="162" t="s">
        <v>81</v>
      </c>
      <c r="D8" s="152">
        <v>0.75</v>
      </c>
      <c r="E8" s="96" t="str">
        <f>IF(D8&lt;Input!$C$19,"Exclude","Include")</f>
        <v>Include</v>
      </c>
      <c r="F8" s="29" t="s">
        <v>247</v>
      </c>
      <c r="G8" s="96">
        <f>IF(F8="Y",INDEX(Tax!$B$6:$F$189,MATCH(C8,Tax!$B$6:$B$189,0),MATCH(YEAR(Input!$C$9),Tax!$B$6:$F$6,0)),"n.a.")</f>
        <v>0.28999999999999998</v>
      </c>
      <c r="H8" s="98">
        <v>990</v>
      </c>
      <c r="I8" s="98">
        <v>295</v>
      </c>
      <c r="J8" s="96">
        <f t="shared" ref="J8:J31" si="1">IF(ISERROR(I8/H8),"n.a.",I8/H8)</f>
        <v>0.29797979797979796</v>
      </c>
      <c r="K8" s="153">
        <v>0.99</v>
      </c>
      <c r="L8" s="151">
        <f t="shared" ref="L8:L31" si="2">IF(F8="Y",IFERROR(K8*2/3+1/3,"n.a."),"n.a.")</f>
        <v>0.9933333333333334</v>
      </c>
      <c r="M8" s="149">
        <f t="shared" si="0"/>
        <v>0.81712451540289299</v>
      </c>
      <c r="N8" s="97">
        <f t="shared" ref="N8:N31" si="3">IFERROR(M8*2/3+1/3,"n.a.")</f>
        <v>0.87808301026859525</v>
      </c>
    </row>
    <row r="9" spans="1:14" ht="16" customHeight="1" x14ac:dyDescent="0.15">
      <c r="B9" s="34" t="s">
        <v>16</v>
      </c>
      <c r="C9" s="162" t="s">
        <v>90</v>
      </c>
      <c r="D9" s="152">
        <v>0.75</v>
      </c>
      <c r="E9" s="96" t="str">
        <f>IF(D9&lt;Input!$C$19,"Exclude","Include")</f>
        <v>Include</v>
      </c>
      <c r="F9" s="29" t="s">
        <v>247</v>
      </c>
      <c r="G9" s="96">
        <f>IF(F9="Y",INDEX(Tax!$B$6:$F$189,MATCH(C9,Tax!$B$6:$B$189,0),MATCH(YEAR(Input!$C$9),Tax!$B$6:$F$6,0)),"n.a.")</f>
        <v>0.1</v>
      </c>
      <c r="H9" s="98">
        <v>980</v>
      </c>
      <c r="I9" s="98">
        <v>290</v>
      </c>
      <c r="J9" s="96">
        <f t="shared" si="1"/>
        <v>0.29591836734693877</v>
      </c>
      <c r="K9" s="153">
        <v>0.98</v>
      </c>
      <c r="L9" s="150">
        <f t="shared" si="2"/>
        <v>0.98666666666666658</v>
      </c>
      <c r="M9" s="149">
        <f t="shared" si="0"/>
        <v>0.7738920225624496</v>
      </c>
      <c r="N9" s="97">
        <f t="shared" si="3"/>
        <v>0.84926134837496647</v>
      </c>
    </row>
    <row r="10" spans="1:14" ht="16" customHeight="1" x14ac:dyDescent="0.15">
      <c r="B10" s="34" t="s">
        <v>17</v>
      </c>
      <c r="C10" s="162" t="s">
        <v>102</v>
      </c>
      <c r="D10" s="152">
        <v>0.75</v>
      </c>
      <c r="E10" s="96" t="str">
        <f>IF(D10&lt;Input!$C$19,"Exclude","Include")</f>
        <v>Include</v>
      </c>
      <c r="F10" s="29" t="s">
        <v>247</v>
      </c>
      <c r="G10" s="96">
        <f>IF(F10="Y",INDEX(Tax!$B$6:$F$189,MATCH(C10,Tax!$B$6:$B$189,0),MATCH(YEAR(Input!$C$9),Tax!$B$6:$F$6,0)),"n.a.")</f>
        <v>0.18</v>
      </c>
      <c r="H10" s="98">
        <v>970</v>
      </c>
      <c r="I10" s="98">
        <v>285</v>
      </c>
      <c r="J10" s="96">
        <f t="shared" si="1"/>
        <v>0.29381443298969073</v>
      </c>
      <c r="K10" s="153">
        <v>0.97</v>
      </c>
      <c r="L10" s="150">
        <f t="shared" si="2"/>
        <v>0.98</v>
      </c>
      <c r="M10" s="149">
        <f t="shared" si="0"/>
        <v>0.78167317437899797</v>
      </c>
      <c r="N10" s="97">
        <f t="shared" si="3"/>
        <v>0.85444878291933191</v>
      </c>
    </row>
    <row r="11" spans="1:14" ht="16" customHeight="1" x14ac:dyDescent="0.15">
      <c r="B11" s="34" t="s">
        <v>18</v>
      </c>
      <c r="C11" s="162" t="s">
        <v>104</v>
      </c>
      <c r="D11" s="152">
        <v>0.75</v>
      </c>
      <c r="E11" s="96" t="str">
        <f>IF(D11&lt;Input!$C$19,"Exclude","Include")</f>
        <v>Include</v>
      </c>
      <c r="F11" s="29" t="s">
        <v>247</v>
      </c>
      <c r="G11" s="96">
        <f>IF(F11="Y",INDEX(Tax!$B$6:$F$189,MATCH(C11,Tax!$B$6:$B$189,0),MATCH(YEAR(Input!$C$9),Tax!$B$6:$F$6,0)),"n.a.")</f>
        <v>0.125</v>
      </c>
      <c r="H11" s="98">
        <v>960</v>
      </c>
      <c r="I11" s="98">
        <v>280</v>
      </c>
      <c r="J11" s="96">
        <f t="shared" si="1"/>
        <v>0.29166666666666669</v>
      </c>
      <c r="K11" s="153">
        <v>0.96</v>
      </c>
      <c r="L11" s="150">
        <f t="shared" si="2"/>
        <v>0.97333333333333338</v>
      </c>
      <c r="M11" s="149">
        <f t="shared" si="0"/>
        <v>0.76481327800829868</v>
      </c>
      <c r="N11" s="97">
        <f t="shared" si="3"/>
        <v>0.84320885200553253</v>
      </c>
    </row>
    <row r="12" spans="1:14" ht="16" customHeight="1" x14ac:dyDescent="0.15">
      <c r="B12" s="34" t="s">
        <v>19</v>
      </c>
      <c r="C12" s="162" t="s">
        <v>105</v>
      </c>
      <c r="D12" s="152">
        <v>0.75</v>
      </c>
      <c r="E12" s="96" t="str">
        <f>IF(D12&lt;Input!$C$19,"Exclude","Include")</f>
        <v>Include</v>
      </c>
      <c r="F12" s="29" t="s">
        <v>247</v>
      </c>
      <c r="G12" s="96">
        <f>IF(F12="Y",INDEX(Tax!$B$6:$F$189,MATCH(C12,Tax!$B$6:$B$189,0),MATCH(YEAR(Input!$C$9),Tax!$B$6:$F$6,0)),"n.a.")</f>
        <v>0.19</v>
      </c>
      <c r="H12" s="98">
        <v>950</v>
      </c>
      <c r="I12" s="98">
        <v>275</v>
      </c>
      <c r="J12" s="96">
        <f t="shared" si="1"/>
        <v>0.28947368421052633</v>
      </c>
      <c r="K12" s="153">
        <v>0.95</v>
      </c>
      <c r="L12" s="150">
        <f t="shared" si="2"/>
        <v>0.96666666666666656</v>
      </c>
      <c r="M12" s="149">
        <f t="shared" si="0"/>
        <v>0.76955872948198667</v>
      </c>
      <c r="N12" s="97">
        <f t="shared" si="3"/>
        <v>0.84637248632132445</v>
      </c>
    </row>
    <row r="13" spans="1:14" ht="16" customHeight="1" x14ac:dyDescent="0.15">
      <c r="B13" s="34" t="s">
        <v>20</v>
      </c>
      <c r="C13" s="162" t="s">
        <v>106</v>
      </c>
      <c r="D13" s="152">
        <v>0.75</v>
      </c>
      <c r="E13" s="96" t="str">
        <f>IF(D13&lt;Input!$C$19,"Exclude","Include")</f>
        <v>Include</v>
      </c>
      <c r="F13" s="29" t="s">
        <v>247</v>
      </c>
      <c r="G13" s="96">
        <f>IF(F13="Y",INDEX(Tax!$B$6:$F$189,MATCH(C13,Tax!$B$6:$B$189,0),MATCH(YEAR(Input!$C$9),Tax!$B$6:$F$6,0)),"n.a.")</f>
        <v>0.22</v>
      </c>
      <c r="H13" s="98">
        <v>940</v>
      </c>
      <c r="I13" s="98">
        <v>270</v>
      </c>
      <c r="J13" s="96">
        <f t="shared" si="1"/>
        <v>0.28723404255319152</v>
      </c>
      <c r="K13" s="153">
        <v>0.94</v>
      </c>
      <c r="L13" s="150">
        <f t="shared" si="2"/>
        <v>0.96</v>
      </c>
      <c r="M13" s="149">
        <f t="shared" si="0"/>
        <v>0.76794715800451929</v>
      </c>
      <c r="N13" s="97">
        <f t="shared" si="3"/>
        <v>0.84529810533634619</v>
      </c>
    </row>
    <row r="14" spans="1:14" ht="16" customHeight="1" x14ac:dyDescent="0.15">
      <c r="B14" s="34" t="s">
        <v>21</v>
      </c>
      <c r="C14" s="162" t="s">
        <v>116</v>
      </c>
      <c r="D14" s="152">
        <v>0.75</v>
      </c>
      <c r="E14" s="96" t="str">
        <f>IF(D14&lt;Input!$C$19,"Exclude","Include")</f>
        <v>Include</v>
      </c>
      <c r="F14" s="29" t="s">
        <v>247</v>
      </c>
      <c r="G14" s="96">
        <f>IF(F14="Y",INDEX(Tax!$B$6:$F$189,MATCH(C14,Tax!$B$6:$B$189,0),MATCH(YEAR(Input!$C$9),Tax!$B$6:$F$6,0)),"n.a.")</f>
        <v>0.2</v>
      </c>
      <c r="H14" s="98">
        <v>930</v>
      </c>
      <c r="I14" s="98">
        <v>265</v>
      </c>
      <c r="J14" s="96">
        <f t="shared" si="1"/>
        <v>0.28494623655913981</v>
      </c>
      <c r="K14" s="153">
        <v>0.92999999999999994</v>
      </c>
      <c r="L14" s="150">
        <f t="shared" si="2"/>
        <v>0.95333333333333337</v>
      </c>
      <c r="M14" s="149">
        <f t="shared" si="0"/>
        <v>0.75735551663747802</v>
      </c>
      <c r="N14" s="97">
        <f t="shared" si="3"/>
        <v>0.83823701109165194</v>
      </c>
    </row>
    <row r="15" spans="1:14" ht="16" customHeight="1" x14ac:dyDescent="0.15">
      <c r="B15" s="34" t="s">
        <v>22</v>
      </c>
      <c r="C15" s="162" t="s">
        <v>117</v>
      </c>
      <c r="D15" s="152">
        <v>0.75</v>
      </c>
      <c r="E15" s="96" t="str">
        <f>IF(D15&lt;Input!$C$19,"Exclude","Include")</f>
        <v>Include</v>
      </c>
      <c r="F15" s="29" t="s">
        <v>247</v>
      </c>
      <c r="G15" s="96">
        <f>IF(F15="Y",INDEX(Tax!$B$6:$F$189,MATCH(C15,Tax!$B$6:$B$189,0),MATCH(YEAR(Input!$C$9),Tax!$B$6:$F$6,0)),"n.a.")</f>
        <v>0.28000000000000003</v>
      </c>
      <c r="H15" s="98">
        <v>920</v>
      </c>
      <c r="I15" s="98">
        <v>260</v>
      </c>
      <c r="J15" s="96">
        <f t="shared" si="1"/>
        <v>0.28260869565217389</v>
      </c>
      <c r="K15" s="153">
        <v>0.91999999999999993</v>
      </c>
      <c r="L15" s="150">
        <f t="shared" si="2"/>
        <v>0.94666666666666655</v>
      </c>
      <c r="M15" s="149">
        <f t="shared" si="0"/>
        <v>0.76445086705202314</v>
      </c>
      <c r="N15" s="97">
        <f t="shared" si="3"/>
        <v>0.84296724470134876</v>
      </c>
    </row>
    <row r="16" spans="1:14" ht="16" customHeight="1" x14ac:dyDescent="0.15">
      <c r="B16" s="34" t="s">
        <v>23</v>
      </c>
      <c r="C16" s="162" t="s">
        <v>121</v>
      </c>
      <c r="D16" s="152">
        <v>0.75</v>
      </c>
      <c r="E16" s="96" t="str">
        <f>IF(D16&lt;Input!$C$19,"Exclude","Include")</f>
        <v>Include</v>
      </c>
      <c r="F16" s="29" t="s">
        <v>247</v>
      </c>
      <c r="G16" s="96">
        <f>IF(F16="Y",INDEX(Tax!$B$6:$F$189,MATCH(C16,Tax!$B$6:$B$189,0),MATCH(YEAR(Input!$C$9),Tax!$B$6:$F$6,0)),"n.a.")</f>
        <v>0.3</v>
      </c>
      <c r="H16" s="98">
        <v>910</v>
      </c>
      <c r="I16" s="98">
        <v>255</v>
      </c>
      <c r="J16" s="96">
        <f t="shared" si="1"/>
        <v>0.28021978021978022</v>
      </c>
      <c r="K16" s="153">
        <v>0.90999999999999992</v>
      </c>
      <c r="L16" s="150">
        <f t="shared" si="2"/>
        <v>0.94</v>
      </c>
      <c r="M16" s="149">
        <f t="shared" si="0"/>
        <v>0.76077170418006423</v>
      </c>
      <c r="N16" s="97">
        <f t="shared" si="3"/>
        <v>0.84051446945337616</v>
      </c>
    </row>
    <row r="17" spans="2:14" ht="16" customHeight="1" x14ac:dyDescent="0.15">
      <c r="B17" s="34" t="s">
        <v>24</v>
      </c>
      <c r="C17" s="162" t="s">
        <v>124</v>
      </c>
      <c r="D17" s="152">
        <v>0.75</v>
      </c>
      <c r="E17" s="96" t="str">
        <f>IF(D17&lt;Input!$C$19,"Exclude","Include")</f>
        <v>Include</v>
      </c>
      <c r="F17" s="29" t="s">
        <v>247</v>
      </c>
      <c r="G17" s="96">
        <f>IF(F17="Y",INDEX(Tax!$B$6:$F$189,MATCH(C17,Tax!$B$6:$B$189,0),MATCH(YEAR(Input!$C$9),Tax!$B$6:$F$6,0)),"n.a.")</f>
        <v>0.24</v>
      </c>
      <c r="H17" s="98">
        <v>900</v>
      </c>
      <c r="I17" s="98">
        <v>250</v>
      </c>
      <c r="J17" s="96">
        <f t="shared" si="1"/>
        <v>0.27777777777777779</v>
      </c>
      <c r="K17" s="153">
        <v>0.89999999999999991</v>
      </c>
      <c r="L17" s="150">
        <f t="shared" si="2"/>
        <v>0.93333333333333335</v>
      </c>
      <c r="M17" s="149">
        <f t="shared" si="0"/>
        <v>0.74311926605504586</v>
      </c>
      <c r="N17" s="97">
        <f t="shared" si="3"/>
        <v>0.82874617737003053</v>
      </c>
    </row>
    <row r="18" spans="2:14" ht="16" customHeight="1" x14ac:dyDescent="0.15">
      <c r="B18" s="34" t="s">
        <v>25</v>
      </c>
      <c r="C18" s="162" t="s">
        <v>138</v>
      </c>
      <c r="D18" s="152">
        <v>0.75</v>
      </c>
      <c r="E18" s="96" t="str">
        <f>IF(D18&lt;Input!$C$19,"Exclude","Include")</f>
        <v>Include</v>
      </c>
      <c r="F18" s="29" t="s">
        <v>247</v>
      </c>
      <c r="G18" s="96">
        <f>IF(F18="Y",INDEX(Tax!$B$6:$F$189,MATCH(C18,Tax!$B$6:$B$189,0),MATCH(YEAR(Input!$C$9),Tax!$B$6:$F$6,0)),"n.a.")</f>
        <v>0.24</v>
      </c>
      <c r="H18" s="98">
        <v>890</v>
      </c>
      <c r="I18" s="98">
        <v>245</v>
      </c>
      <c r="J18" s="96">
        <f t="shared" si="1"/>
        <v>0.2752808988764045</v>
      </c>
      <c r="K18" s="153">
        <v>0.8899999999999999</v>
      </c>
      <c r="L18" s="150">
        <f t="shared" si="2"/>
        <v>0.92666666666666653</v>
      </c>
      <c r="M18" s="149">
        <f t="shared" si="0"/>
        <v>0.73601561048132302</v>
      </c>
      <c r="N18" s="97">
        <f t="shared" si="3"/>
        <v>0.82401040698754868</v>
      </c>
    </row>
    <row r="19" spans="2:14" ht="16" customHeight="1" x14ac:dyDescent="0.15">
      <c r="B19" s="34" t="s">
        <v>26</v>
      </c>
      <c r="C19" s="162" t="s">
        <v>151</v>
      </c>
      <c r="D19" s="152">
        <v>0.75</v>
      </c>
      <c r="E19" s="96" t="str">
        <f>IF(D19&lt;Input!$C$19,"Exclude","Include")</f>
        <v>Include</v>
      </c>
      <c r="F19" s="29" t="s">
        <v>247</v>
      </c>
      <c r="G19" s="96">
        <f>IF(F19="Y",INDEX(Tax!$B$6:$F$189,MATCH(C19,Tax!$B$6:$B$189,0),MATCH(YEAR(Input!$C$9),Tax!$B$6:$F$6,0)),"n.a.")</f>
        <v>0.125</v>
      </c>
      <c r="H19" s="98">
        <v>880</v>
      </c>
      <c r="I19" s="98">
        <v>240</v>
      </c>
      <c r="J19" s="96">
        <f t="shared" si="1"/>
        <v>0.27272727272727271</v>
      </c>
      <c r="K19" s="153">
        <v>0.87999999999999989</v>
      </c>
      <c r="L19" s="150">
        <f t="shared" si="2"/>
        <v>0.91999999999999993</v>
      </c>
      <c r="M19" s="149">
        <f t="shared" si="0"/>
        <v>0.71045871559633023</v>
      </c>
      <c r="N19" s="97">
        <f t="shared" si="3"/>
        <v>0.80697247706422015</v>
      </c>
    </row>
    <row r="20" spans="2:14" ht="16" customHeight="1" x14ac:dyDescent="0.15">
      <c r="B20" s="34" t="s">
        <v>27</v>
      </c>
      <c r="C20" s="162" t="s">
        <v>153</v>
      </c>
      <c r="D20" s="152">
        <v>0.75</v>
      </c>
      <c r="E20" s="96" t="str">
        <f>IF(D20&lt;Input!$C$19,"Exclude","Include")</f>
        <v>Include</v>
      </c>
      <c r="F20" s="29" t="s">
        <v>247</v>
      </c>
      <c r="G20" s="96">
        <f>IF(F20="Y",INDEX(Tax!$B$6:$F$189,MATCH(C20,Tax!$B$6:$B$189,0),MATCH(YEAR(Input!$C$9),Tax!$B$6:$F$6,0)),"n.a.")</f>
        <v>0.24940000000000001</v>
      </c>
      <c r="H20" s="98">
        <v>870</v>
      </c>
      <c r="I20" s="98">
        <v>235</v>
      </c>
      <c r="J20" s="96">
        <f t="shared" si="1"/>
        <v>0.27011494252873564</v>
      </c>
      <c r="K20" s="153">
        <v>0.86999999999999988</v>
      </c>
      <c r="L20" s="150">
        <f t="shared" si="2"/>
        <v>0.91333333333333333</v>
      </c>
      <c r="M20" s="149">
        <f t="shared" si="0"/>
        <v>0.7233433773799659</v>
      </c>
      <c r="N20" s="97">
        <f t="shared" si="3"/>
        <v>0.81556225158664386</v>
      </c>
    </row>
    <row r="21" spans="2:14" ht="16" customHeight="1" x14ac:dyDescent="0.15">
      <c r="B21" s="34" t="s">
        <v>28</v>
      </c>
      <c r="C21" s="162" t="s">
        <v>159</v>
      </c>
      <c r="D21" s="152">
        <v>0.75</v>
      </c>
      <c r="E21" s="96" t="str">
        <f>IF(D21&lt;Input!$C$19,"Exclude","Include")</f>
        <v>Include</v>
      </c>
      <c r="F21" s="29" t="s">
        <v>247</v>
      </c>
      <c r="G21" s="96">
        <f>IF(F21="Y",INDEX(Tax!$B$6:$F$189,MATCH(C21,Tax!$B$6:$B$189,0),MATCH(YEAR(Input!$C$9),Tax!$B$6:$F$6,0)),"n.a.")</f>
        <v>0.35</v>
      </c>
      <c r="H21" s="98">
        <v>860</v>
      </c>
      <c r="I21" s="98">
        <v>230</v>
      </c>
      <c r="J21" s="96">
        <f t="shared" si="1"/>
        <v>0.26744186046511625</v>
      </c>
      <c r="K21" s="153">
        <v>0.85999999999999988</v>
      </c>
      <c r="L21" s="150">
        <f t="shared" si="2"/>
        <v>0.90666666666666651</v>
      </c>
      <c r="M21" s="149">
        <f t="shared" si="0"/>
        <v>0.7326399207528479</v>
      </c>
      <c r="N21" s="97">
        <f t="shared" si="3"/>
        <v>0.82175994716856526</v>
      </c>
    </row>
    <row r="22" spans="2:14" ht="16" customHeight="1" x14ac:dyDescent="0.15">
      <c r="B22" s="34" t="s">
        <v>29</v>
      </c>
      <c r="C22" s="162" t="s">
        <v>170</v>
      </c>
      <c r="D22" s="152">
        <v>0.75</v>
      </c>
      <c r="E22" s="96" t="str">
        <f>IF(D22&lt;Input!$C$19,"Exclude","Include")</f>
        <v>Include</v>
      </c>
      <c r="F22" s="29" t="s">
        <v>247</v>
      </c>
      <c r="G22" s="96">
        <f>IF(F22="Y",INDEX(Tax!$B$6:$F$189,MATCH(C22,Tax!$B$6:$B$189,0),MATCH(YEAR(Input!$C$9),Tax!$B$6:$F$6,0)),"n.a.")</f>
        <v>0.25</v>
      </c>
      <c r="H22" s="98">
        <v>850</v>
      </c>
      <c r="I22" s="98">
        <v>225</v>
      </c>
      <c r="J22" s="96">
        <f t="shared" si="1"/>
        <v>0.26470588235294118</v>
      </c>
      <c r="K22" s="153">
        <v>0.84999999999999987</v>
      </c>
      <c r="L22" s="150">
        <f t="shared" si="2"/>
        <v>0.89999999999999991</v>
      </c>
      <c r="M22" s="149">
        <f t="shared" si="0"/>
        <v>0.70920245398772996</v>
      </c>
      <c r="N22" s="97">
        <f t="shared" si="3"/>
        <v>0.80613496932515327</v>
      </c>
    </row>
    <row r="23" spans="2:14" ht="16" customHeight="1" x14ac:dyDescent="0.15">
      <c r="B23" s="34" t="s">
        <v>30</v>
      </c>
      <c r="C23" s="162" t="s">
        <v>174</v>
      </c>
      <c r="D23" s="152">
        <v>0.75</v>
      </c>
      <c r="E23" s="96" t="str">
        <f>IF(D23&lt;Input!$C$19,"Exclude","Include")</f>
        <v>Include</v>
      </c>
      <c r="F23" s="29" t="s">
        <v>247</v>
      </c>
      <c r="G23" s="96">
        <f>IF(F23="Y",INDEX(Tax!$B$6:$F$189,MATCH(C23,Tax!$B$6:$B$189,0),MATCH(YEAR(Input!$C$9),Tax!$B$6:$F$6,0)),"n.a.")</f>
        <v>0.22</v>
      </c>
      <c r="H23" s="98">
        <v>840</v>
      </c>
      <c r="I23" s="98">
        <v>220</v>
      </c>
      <c r="J23" s="96">
        <f t="shared" si="1"/>
        <v>0.26190476190476192</v>
      </c>
      <c r="K23" s="153">
        <v>0.83999999999999986</v>
      </c>
      <c r="L23" s="150">
        <f t="shared" si="2"/>
        <v>0.89333333333333331</v>
      </c>
      <c r="M23" s="149">
        <f t="shared" si="0"/>
        <v>0.697508896797153</v>
      </c>
      <c r="N23" s="97">
        <f t="shared" si="3"/>
        <v>0.79833926453143533</v>
      </c>
    </row>
    <row r="24" spans="2:14" ht="16" customHeight="1" x14ac:dyDescent="0.15">
      <c r="B24" s="34" t="s">
        <v>31</v>
      </c>
      <c r="C24" s="162" t="s">
        <v>183</v>
      </c>
      <c r="D24" s="152">
        <v>0.75</v>
      </c>
      <c r="E24" s="96" t="str">
        <f>IF(D24&lt;Input!$C$19,"Exclude","Include")</f>
        <v>Include</v>
      </c>
      <c r="F24" s="29" t="s">
        <v>247</v>
      </c>
      <c r="G24" s="96">
        <f>IF(F24="Y",INDEX(Tax!$B$6:$F$189,MATCH(C24,Tax!$B$6:$B$189,0),MATCH(YEAR(Input!$C$9),Tax!$B$6:$F$6,0)),"n.a.")</f>
        <v>0.19</v>
      </c>
      <c r="H24" s="98">
        <v>830</v>
      </c>
      <c r="I24" s="98">
        <v>215</v>
      </c>
      <c r="J24" s="96">
        <f t="shared" si="1"/>
        <v>0.25903614457831325</v>
      </c>
      <c r="K24" s="153">
        <v>0.82999999999999985</v>
      </c>
      <c r="L24" s="150">
        <f t="shared" si="2"/>
        <v>0.88666666666666649</v>
      </c>
      <c r="M24" s="149">
        <f t="shared" si="0"/>
        <v>0.6860528805457351</v>
      </c>
      <c r="N24" s="97">
        <f t="shared" si="3"/>
        <v>0.79070192036382336</v>
      </c>
    </row>
    <row r="25" spans="2:14" ht="16" customHeight="1" x14ac:dyDescent="0.15">
      <c r="B25" s="34" t="s">
        <v>32</v>
      </c>
      <c r="C25" s="162" t="s">
        <v>184</v>
      </c>
      <c r="D25" s="152">
        <v>0.75</v>
      </c>
      <c r="E25" s="96" t="str">
        <f>IF(D25&lt;Input!$C$19,"Exclude","Include")</f>
        <v>Include</v>
      </c>
      <c r="F25" s="29" t="s">
        <v>247</v>
      </c>
      <c r="G25" s="96">
        <f>IF(F25="Y",INDEX(Tax!$B$6:$F$189,MATCH(C25,Tax!$B$6:$B$189,0),MATCH(YEAR(Input!$C$9),Tax!$B$6:$F$6,0)),"n.a.")</f>
        <v>0.21</v>
      </c>
      <c r="H25" s="98">
        <v>820</v>
      </c>
      <c r="I25" s="98">
        <v>210</v>
      </c>
      <c r="J25" s="96">
        <f t="shared" si="1"/>
        <v>0.25609756097560976</v>
      </c>
      <c r="K25" s="153">
        <v>0.81999999999999984</v>
      </c>
      <c r="L25" s="150">
        <f t="shared" si="2"/>
        <v>0.87999999999999989</v>
      </c>
      <c r="M25" s="149">
        <f t="shared" si="0"/>
        <v>0.6820164316867835</v>
      </c>
      <c r="N25" s="97">
        <f t="shared" si="3"/>
        <v>0.78801095445785563</v>
      </c>
    </row>
    <row r="26" spans="2:14" ht="16" customHeight="1" x14ac:dyDescent="0.15">
      <c r="B26" s="34" t="s">
        <v>33</v>
      </c>
      <c r="C26" s="162" t="s">
        <v>186</v>
      </c>
      <c r="D26" s="152">
        <v>0.75</v>
      </c>
      <c r="E26" s="96" t="str">
        <f>IF(D26&lt;Input!$C$19,"Exclude","Include")</f>
        <v>Include</v>
      </c>
      <c r="F26" s="29" t="s">
        <v>247</v>
      </c>
      <c r="G26" s="96">
        <f>IF(F26="Y",INDEX(Tax!$B$6:$F$189,MATCH(C26,Tax!$B$6:$B$189,0),MATCH(YEAR(Input!$C$9),Tax!$B$6:$F$6,0)),"n.a.")</f>
        <v>0.16</v>
      </c>
      <c r="H26" s="98">
        <v>810</v>
      </c>
      <c r="I26" s="98">
        <v>205</v>
      </c>
      <c r="J26" s="96">
        <f t="shared" si="1"/>
        <v>0.25308641975308643</v>
      </c>
      <c r="K26" s="153">
        <v>0.80999999999999983</v>
      </c>
      <c r="L26" s="150">
        <f t="shared" si="2"/>
        <v>0.87333333333333329</v>
      </c>
      <c r="M26" s="149">
        <f t="shared" si="0"/>
        <v>0.66799022602321301</v>
      </c>
      <c r="N26" s="97">
        <f t="shared" si="3"/>
        <v>0.778660150682142</v>
      </c>
    </row>
    <row r="27" spans="2:14" ht="16" customHeight="1" x14ac:dyDescent="0.15">
      <c r="B27" s="34" t="s">
        <v>34</v>
      </c>
      <c r="C27" s="162" t="s">
        <v>199</v>
      </c>
      <c r="D27" s="152">
        <v>0.75</v>
      </c>
      <c r="E27" s="96" t="str">
        <f>IF(D27&lt;Input!$C$19,"Exclude","Include")</f>
        <v>Include</v>
      </c>
      <c r="F27" s="29" t="s">
        <v>247</v>
      </c>
      <c r="G27" s="96">
        <f>IF(F27="Y",INDEX(Tax!$B$6:$F$189,MATCH(C27,Tax!$B$6:$B$189,0),MATCH(YEAR(Input!$C$9),Tax!$B$6:$F$6,0)),"n.a.")</f>
        <v>0.21</v>
      </c>
      <c r="H27" s="98">
        <v>800</v>
      </c>
      <c r="I27" s="98">
        <v>200</v>
      </c>
      <c r="J27" s="96">
        <f t="shared" si="1"/>
        <v>0.25</v>
      </c>
      <c r="K27" s="153">
        <v>0.79999999999999982</v>
      </c>
      <c r="L27" s="150">
        <f t="shared" si="2"/>
        <v>0.86666666666666647</v>
      </c>
      <c r="M27" s="149">
        <f t="shared" si="0"/>
        <v>0.66805845511482242</v>
      </c>
      <c r="N27" s="97">
        <f t="shared" si="3"/>
        <v>0.77870563674321491</v>
      </c>
    </row>
    <row r="28" spans="2:14" ht="16" customHeight="1" x14ac:dyDescent="0.15">
      <c r="B28" s="34" t="s">
        <v>35</v>
      </c>
      <c r="C28" s="162" t="s">
        <v>200</v>
      </c>
      <c r="D28" s="152">
        <v>0.75</v>
      </c>
      <c r="E28" s="96" t="str">
        <f>IF(D28&lt;Input!$C$19,"Exclude","Include")</f>
        <v>Include</v>
      </c>
      <c r="F28" s="29" t="s">
        <v>247</v>
      </c>
      <c r="G28" s="96">
        <f>IF(F28="Y",INDEX(Tax!$B$6:$F$189,MATCH(C28,Tax!$B$6:$B$189,0),MATCH(YEAR(Input!$C$9),Tax!$B$6:$F$6,0)),"n.a.")</f>
        <v>0.19</v>
      </c>
      <c r="H28" s="98">
        <v>790</v>
      </c>
      <c r="I28" s="98">
        <v>195</v>
      </c>
      <c r="J28" s="96">
        <f t="shared" si="1"/>
        <v>0.24683544303797469</v>
      </c>
      <c r="K28" s="153">
        <v>0.78999999999999981</v>
      </c>
      <c r="L28" s="150">
        <f t="shared" si="2"/>
        <v>0.85999999999999988</v>
      </c>
      <c r="M28" s="149">
        <f t="shared" si="0"/>
        <v>0.65836805738699278</v>
      </c>
      <c r="N28" s="97">
        <f t="shared" si="3"/>
        <v>0.77224537159132844</v>
      </c>
    </row>
    <row r="29" spans="2:14" ht="16" customHeight="1" x14ac:dyDescent="0.15">
      <c r="B29" s="34" t="s">
        <v>36</v>
      </c>
      <c r="C29" s="162" t="s">
        <v>204</v>
      </c>
      <c r="D29" s="152">
        <v>0.75</v>
      </c>
      <c r="E29" s="96" t="str">
        <f>IF(D29&lt;Input!$C$19,"Exclude","Include")</f>
        <v>Include</v>
      </c>
      <c r="F29" s="29" t="s">
        <v>247</v>
      </c>
      <c r="G29" s="96">
        <f>IF(F29="Y",INDEX(Tax!$B$6:$F$189,MATCH(C29,Tax!$B$6:$B$189,0),MATCH(YEAR(Input!$C$9),Tax!$B$6:$F$6,0)),"n.a.")</f>
        <v>0.25</v>
      </c>
      <c r="H29" s="98">
        <v>780</v>
      </c>
      <c r="I29" s="98">
        <v>190</v>
      </c>
      <c r="J29" s="96">
        <f t="shared" si="1"/>
        <v>0.24358974358974358</v>
      </c>
      <c r="K29" s="153">
        <v>0.7799999999999998</v>
      </c>
      <c r="L29" s="150">
        <f t="shared" si="2"/>
        <v>0.85333333333333328</v>
      </c>
      <c r="M29" s="149">
        <f t="shared" si="0"/>
        <v>0.65951219512195103</v>
      </c>
      <c r="N29" s="97">
        <f t="shared" si="3"/>
        <v>0.77300813008130065</v>
      </c>
    </row>
    <row r="30" spans="2:14" ht="16" customHeight="1" x14ac:dyDescent="0.15">
      <c r="B30" s="34" t="s">
        <v>37</v>
      </c>
      <c r="C30" s="162" t="s">
        <v>210</v>
      </c>
      <c r="D30" s="152">
        <v>0.75</v>
      </c>
      <c r="E30" s="96" t="str">
        <f>IF(D30&lt;Input!$C$19,"Exclude","Include")</f>
        <v>Include</v>
      </c>
      <c r="F30" s="29" t="s">
        <v>247</v>
      </c>
      <c r="G30" s="96">
        <f>IF(F30="Y",INDEX(Tax!$B$6:$F$189,MATCH(C30,Tax!$B$6:$B$189,0),MATCH(YEAR(Input!$C$9),Tax!$B$6:$F$6,0)),"n.a.")</f>
        <v>0.214</v>
      </c>
      <c r="H30" s="98">
        <v>770</v>
      </c>
      <c r="I30" s="98">
        <v>185</v>
      </c>
      <c r="J30" s="96">
        <f t="shared" si="1"/>
        <v>0.24025974025974026</v>
      </c>
      <c r="K30" s="153">
        <v>0.7699999999999998</v>
      </c>
      <c r="L30" s="150">
        <f t="shared" si="2"/>
        <v>0.84666666666666646</v>
      </c>
      <c r="M30" s="149">
        <f t="shared" si="0"/>
        <v>0.64768792125932628</v>
      </c>
      <c r="N30" s="97">
        <f t="shared" si="3"/>
        <v>0.76512528083955078</v>
      </c>
    </row>
    <row r="31" spans="2:14" ht="16" customHeight="1" x14ac:dyDescent="0.15">
      <c r="B31" s="34" t="s">
        <v>38</v>
      </c>
      <c r="C31" s="162" t="s">
        <v>211</v>
      </c>
      <c r="D31" s="152">
        <v>0.75</v>
      </c>
      <c r="E31" s="96" t="str">
        <f>IF(D31&lt;Input!$C$19,"Exclude","Include")</f>
        <v>Include</v>
      </c>
      <c r="F31" s="29" t="s">
        <v>247</v>
      </c>
      <c r="G31" s="96">
        <f>IF(F31="Y",INDEX(Tax!$B$6:$F$189,MATCH(C31,Tax!$B$6:$B$189,0),MATCH(YEAR(Input!$C$9),Tax!$B$6:$F$6,0)),"n.a.")</f>
        <v>0.1484</v>
      </c>
      <c r="H31" s="98">
        <v>760</v>
      </c>
      <c r="I31" s="98">
        <v>180</v>
      </c>
      <c r="J31" s="96">
        <f t="shared" si="1"/>
        <v>0.23684210526315788</v>
      </c>
      <c r="K31" s="153">
        <v>0.75999999999999979</v>
      </c>
      <c r="L31" s="150">
        <f t="shared" si="2"/>
        <v>0.83999999999999986</v>
      </c>
      <c r="M31" s="149">
        <f t="shared" si="0"/>
        <v>0.63244015031403</v>
      </c>
      <c r="N31" s="97">
        <f t="shared" si="3"/>
        <v>0.75496010020935334</v>
      </c>
    </row>
    <row r="32" spans="2:14" ht="16" customHeight="1" x14ac:dyDescent="0.15">
      <c r="B32" s="139" t="s">
        <v>39</v>
      </c>
      <c r="C32" s="140"/>
      <c r="D32" s="140"/>
      <c r="E32" s="140"/>
      <c r="F32" s="141"/>
      <c r="G32" s="142"/>
      <c r="H32" s="140"/>
      <c r="I32" s="140"/>
      <c r="J32" s="142">
        <f>MIN(J7:J31)</f>
        <v>0.23684210526315788</v>
      </c>
      <c r="K32" s="140"/>
      <c r="L32" s="142">
        <f>MIN(L7:L31)</f>
        <v>0.83999999999999986</v>
      </c>
      <c r="M32" s="142"/>
      <c r="N32" s="143">
        <f>MIN(N7:N31)</f>
        <v>0.75496010020935334</v>
      </c>
    </row>
    <row r="33" spans="2:14" ht="16" customHeight="1" x14ac:dyDescent="0.15">
      <c r="B33" s="35" t="s">
        <v>40</v>
      </c>
      <c r="C33" s="37"/>
      <c r="D33" s="37"/>
      <c r="E33" s="37"/>
      <c r="F33" s="38"/>
      <c r="G33" s="36"/>
      <c r="H33" s="37"/>
      <c r="I33" s="37"/>
      <c r="J33" s="36">
        <f>IF(ISERROR(AVERAGE(J7:J31)),"n.a.",AVERAGE(J7:J31))</f>
        <v>0.2711824903307416</v>
      </c>
      <c r="K33" s="37"/>
      <c r="L33" s="36">
        <f>IF(ISERROR(AVERAGE(L7:L31)),"n.a.",AVERAGE(L7:L31))</f>
        <v>0.92</v>
      </c>
      <c r="M33" s="36"/>
      <c r="N33" s="39">
        <f>IF(ISERROR(AVERAGE(N7:N31)),"n.a.",AVERAGE(N7:N31))</f>
        <v>0.81675541479531222</v>
      </c>
    </row>
    <row r="34" spans="2:14" ht="16" customHeight="1" x14ac:dyDescent="0.15">
      <c r="B34" s="35" t="s">
        <v>41</v>
      </c>
      <c r="C34" s="37"/>
      <c r="D34" s="37"/>
      <c r="E34" s="37"/>
      <c r="F34" s="38"/>
      <c r="G34" s="36"/>
      <c r="H34" s="37"/>
      <c r="I34" s="37"/>
      <c r="J34" s="36">
        <f>IF(ISERROR(MEDIAN(J7:J31)),"n.a.",MEDIAN(J7:J31))</f>
        <v>0.27272727272727271</v>
      </c>
      <c r="K34" s="37"/>
      <c r="L34" s="36">
        <f>IF(ISERROR(MEDIAN(L7:L31)),"n.a.",MEDIAN(L7:L31))</f>
        <v>0.91999999999999993</v>
      </c>
      <c r="M34" s="36"/>
      <c r="N34" s="39">
        <f>IF(ISERROR(MEDIAN(N7:N31)),"n.a.",MEDIAN(N7:N31))</f>
        <v>0.82175994716856526</v>
      </c>
    </row>
    <row r="35" spans="2:14" ht="16" customHeight="1" thickBot="1" x14ac:dyDescent="0.2">
      <c r="B35" s="144" t="s">
        <v>42</v>
      </c>
      <c r="C35" s="145"/>
      <c r="D35" s="145"/>
      <c r="E35" s="145"/>
      <c r="F35" s="146"/>
      <c r="G35" s="147"/>
      <c r="H35" s="145"/>
      <c r="I35" s="145"/>
      <c r="J35" s="147">
        <f>MAX(J7:J31)</f>
        <v>0.3</v>
      </c>
      <c r="K35" s="145"/>
      <c r="L35" s="147">
        <f>MAX(L7:L31)</f>
        <v>1</v>
      </c>
      <c r="M35" s="147"/>
      <c r="N35" s="148">
        <f>MAX(N7:N31)</f>
        <v>0.87808301026859525</v>
      </c>
    </row>
  </sheetData>
  <conditionalFormatting sqref="J7:J31 F7:F31">
    <cfRule type="cellIs" dxfId="29" priority="2" stopIfTrue="1" operator="equal">
      <formula>"Y"</formula>
    </cfRule>
  </conditionalFormatting>
  <conditionalFormatting sqref="E7:E31">
    <cfRule type="cellIs" dxfId="28" priority="1" operator="equal">
      <formula>"Exclude"</formula>
    </cfRule>
  </conditionalFormatting>
  <dataValidations count="1">
    <dataValidation type="list" allowBlank="1" showInputMessage="1" showErrorMessage="1" sqref="F7:F31" xr:uid="{00000000-0002-0000-0300-000000000000}">
      <formula1>"Y,N"</formula1>
    </dataValidation>
  </dataValidations>
  <hyperlinks>
    <hyperlink ref="A1" location="Index!A1" display="Index" xr:uid="{059ADA68-36C7-2141-8FB4-C86D8B550D61}"/>
  </hyperlinks>
  <pageMargins left="0.7" right="0.7" top="0.75" bottom="0.75" header="0.3" footer="0.3"/>
  <pageSetup paperSize="9" orientation="portrait" horizontalDpi="4294967292" verticalDpi="4294967292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A52FC3-0A1A-2B43-B6C1-DEE9FFF878C7}">
          <x14:formula1>
            <xm:f>Tax!$B$7:$B$178</xm:f>
          </x14:formula1>
          <xm:sqref>C7:C31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J18"/>
  <sheetViews>
    <sheetView showGridLines="0" zoomScale="90" zoomScaleNormal="90" zoomScalePageLayoutView="90" workbookViewId="0"/>
  </sheetViews>
  <sheetFormatPr baseColWidth="10" defaultRowHeight="16" customHeight="1" x14ac:dyDescent="0.2"/>
  <cols>
    <col min="1" max="1" width="3.6640625" style="90" customWidth="1"/>
    <col min="2" max="2" width="17.6640625" style="90" bestFit="1" customWidth="1"/>
    <col min="3" max="3" width="11.1640625" style="90" bestFit="1" customWidth="1"/>
    <col min="4" max="5" width="11.33203125" style="90" bestFit="1" customWidth="1"/>
    <col min="6" max="9" width="11.1640625" style="90" bestFit="1" customWidth="1"/>
    <col min="10" max="16384" width="10.83203125" style="90"/>
  </cols>
  <sheetData>
    <row r="1" spans="1:10" s="169" customFormat="1" ht="11" x14ac:dyDescent="0.15">
      <c r="A1" s="198" t="s">
        <v>333</v>
      </c>
    </row>
    <row r="2" spans="1:10" s="169" customFormat="1" ht="11" x14ac:dyDescent="0.15">
      <c r="A2" s="169" t="str">
        <f>Cover!$B$7</f>
        <v>Discount rate estimation</v>
      </c>
    </row>
    <row r="3" spans="1:10" s="193" customFormat="1" x14ac:dyDescent="0.2">
      <c r="A3" s="194" t="str">
        <f ca="1">MID(CELL("filename",A1),FIND("]",CELL("filename",A1))+1,255)</f>
        <v>Kd</v>
      </c>
    </row>
    <row r="5" spans="1:10" ht="16" customHeight="1" x14ac:dyDescent="0.2">
      <c r="B5" s="78" t="str">
        <f>"Cost of debt - "&amp;Input!C7</f>
        <v>Cost of debt - Name</v>
      </c>
      <c r="C5" s="91"/>
      <c r="D5" s="91"/>
      <c r="E5" s="91"/>
      <c r="F5" s="91"/>
      <c r="G5" s="91"/>
      <c r="H5" s="91"/>
      <c r="I5" s="91"/>
      <c r="J5" s="91"/>
    </row>
    <row r="6" spans="1:10" ht="16" customHeight="1" x14ac:dyDescent="0.2">
      <c r="B6" s="92" t="str">
        <f>Input!C11&amp;Input!C13</f>
        <v>USDm</v>
      </c>
      <c r="C6" s="93">
        <f>EOMONTH(D6,-12)</f>
        <v>43830</v>
      </c>
      <c r="D6" s="93">
        <f>Input!$C$9</f>
        <v>44196</v>
      </c>
      <c r="E6" s="93">
        <f>EOMONTH(D6,12)</f>
        <v>44561</v>
      </c>
      <c r="F6" s="93">
        <f t="shared" ref="F6:I6" si="0">EOMONTH(E6,12)</f>
        <v>44926</v>
      </c>
      <c r="G6" s="93">
        <f t="shared" si="0"/>
        <v>45291</v>
      </c>
      <c r="H6" s="93">
        <f t="shared" si="0"/>
        <v>45657</v>
      </c>
      <c r="I6" s="94">
        <f t="shared" si="0"/>
        <v>46022</v>
      </c>
      <c r="J6" s="138" t="s">
        <v>40</v>
      </c>
    </row>
    <row r="7" spans="1:10" ht="16" customHeight="1" x14ac:dyDescent="0.2">
      <c r="B7" s="79" t="s">
        <v>301</v>
      </c>
      <c r="C7" s="154">
        <v>-10</v>
      </c>
      <c r="D7" s="154">
        <v>-9</v>
      </c>
      <c r="E7" s="154">
        <v>-8</v>
      </c>
      <c r="F7" s="154">
        <v>-7</v>
      </c>
      <c r="G7" s="154">
        <v>-6</v>
      </c>
      <c r="H7" s="154">
        <v>-5</v>
      </c>
      <c r="I7" s="155">
        <v>-4</v>
      </c>
      <c r="J7" s="82"/>
    </row>
    <row r="8" spans="1:10" ht="9" customHeight="1" x14ac:dyDescent="0.2">
      <c r="B8" s="79"/>
      <c r="C8" s="80"/>
      <c r="D8" s="80"/>
      <c r="E8" s="81"/>
      <c r="F8" s="81"/>
      <c r="G8" s="81"/>
      <c r="H8" s="81"/>
      <c r="I8" s="82"/>
      <c r="J8" s="82"/>
    </row>
    <row r="9" spans="1:10" ht="16" customHeight="1" x14ac:dyDescent="0.2">
      <c r="B9" s="83" t="s">
        <v>303</v>
      </c>
      <c r="C9" s="154">
        <v>100</v>
      </c>
      <c r="D9" s="154">
        <v>98</v>
      </c>
      <c r="E9" s="154">
        <v>96</v>
      </c>
      <c r="F9" s="154">
        <v>94</v>
      </c>
      <c r="G9" s="154">
        <v>92</v>
      </c>
      <c r="H9" s="154">
        <v>90</v>
      </c>
      <c r="I9" s="156">
        <v>88</v>
      </c>
      <c r="J9" s="82"/>
    </row>
    <row r="10" spans="1:10" ht="16" customHeight="1" x14ac:dyDescent="0.2">
      <c r="B10" s="83" t="s">
        <v>304</v>
      </c>
      <c r="C10" s="154">
        <v>80</v>
      </c>
      <c r="D10" s="154">
        <v>78</v>
      </c>
      <c r="E10" s="154">
        <v>76</v>
      </c>
      <c r="F10" s="154">
        <v>74</v>
      </c>
      <c r="G10" s="154">
        <v>72</v>
      </c>
      <c r="H10" s="154">
        <v>70</v>
      </c>
      <c r="I10" s="156">
        <v>68</v>
      </c>
      <c r="J10" s="82"/>
    </row>
    <row r="11" spans="1:10" ht="16" customHeight="1" x14ac:dyDescent="0.2">
      <c r="B11" s="83" t="s">
        <v>305</v>
      </c>
      <c r="C11" s="154">
        <v>60</v>
      </c>
      <c r="D11" s="154">
        <v>55</v>
      </c>
      <c r="E11" s="154">
        <v>50</v>
      </c>
      <c r="F11" s="154">
        <v>45</v>
      </c>
      <c r="G11" s="154">
        <v>40</v>
      </c>
      <c r="H11" s="154">
        <v>35</v>
      </c>
      <c r="I11" s="156">
        <v>30</v>
      </c>
      <c r="J11" s="82"/>
    </row>
    <row r="12" spans="1:10" ht="16" customHeight="1" x14ac:dyDescent="0.2">
      <c r="B12" s="83" t="s">
        <v>306</v>
      </c>
      <c r="C12" s="154">
        <v>40</v>
      </c>
      <c r="D12" s="154">
        <v>38</v>
      </c>
      <c r="E12" s="154">
        <v>36</v>
      </c>
      <c r="F12" s="154">
        <v>34</v>
      </c>
      <c r="G12" s="154">
        <v>32</v>
      </c>
      <c r="H12" s="154">
        <v>30</v>
      </c>
      <c r="I12" s="156">
        <v>28</v>
      </c>
      <c r="J12" s="82"/>
    </row>
    <row r="13" spans="1:10" ht="16" customHeight="1" x14ac:dyDescent="0.2">
      <c r="B13" s="83" t="s">
        <v>307</v>
      </c>
      <c r="C13" s="154">
        <v>20</v>
      </c>
      <c r="D13" s="154">
        <v>19</v>
      </c>
      <c r="E13" s="154">
        <v>18</v>
      </c>
      <c r="F13" s="154">
        <v>17</v>
      </c>
      <c r="G13" s="154">
        <v>16</v>
      </c>
      <c r="H13" s="154">
        <v>15</v>
      </c>
      <c r="I13" s="156">
        <v>14</v>
      </c>
      <c r="J13" s="82"/>
    </row>
    <row r="14" spans="1:10" ht="16" customHeight="1" x14ac:dyDescent="0.2">
      <c r="B14" s="83" t="s">
        <v>308</v>
      </c>
      <c r="C14" s="88"/>
      <c r="D14" s="88"/>
      <c r="E14" s="88"/>
      <c r="F14" s="88"/>
      <c r="G14" s="88"/>
      <c r="H14" s="88"/>
      <c r="I14" s="89"/>
      <c r="J14" s="82"/>
    </row>
    <row r="15" spans="1:10" ht="16" customHeight="1" x14ac:dyDescent="0.2">
      <c r="B15" s="79" t="s">
        <v>12</v>
      </c>
      <c r="C15" s="157">
        <f>SUM(C9:C14)</f>
        <v>300</v>
      </c>
      <c r="D15" s="157">
        <f t="shared" ref="D15:I15" si="1">SUM(D9:D14)</f>
        <v>288</v>
      </c>
      <c r="E15" s="157">
        <f t="shared" si="1"/>
        <v>276</v>
      </c>
      <c r="F15" s="157">
        <f t="shared" si="1"/>
        <v>264</v>
      </c>
      <c r="G15" s="157">
        <f t="shared" si="1"/>
        <v>252</v>
      </c>
      <c r="H15" s="157">
        <f t="shared" si="1"/>
        <v>240</v>
      </c>
      <c r="I15" s="158">
        <f t="shared" si="1"/>
        <v>228</v>
      </c>
      <c r="J15" s="82"/>
    </row>
    <row r="16" spans="1:10" ht="16" customHeight="1" thickBot="1" x14ac:dyDescent="0.25">
      <c r="B16" s="84" t="s">
        <v>302</v>
      </c>
      <c r="C16" s="85"/>
      <c r="D16" s="86">
        <f>IFERROR(-D7/AVERAGE(C15:D15),0)</f>
        <v>3.0612244897959183E-2</v>
      </c>
      <c r="E16" s="86">
        <f>IFERROR(-E7/AVERAGE(D15:E15),0)</f>
        <v>2.8368794326241134E-2</v>
      </c>
      <c r="F16" s="86">
        <f>IFERROR(-F7/AVERAGE(E15:F15),0)</f>
        <v>2.5925925925925925E-2</v>
      </c>
      <c r="G16" s="86">
        <f>IFERROR(-G7/AVERAGE(F15:G15),0)</f>
        <v>2.3255813953488372E-2</v>
      </c>
      <c r="H16" s="86">
        <f>IFERROR(-H7/AVERAGE(G15:H15),0)</f>
        <v>2.032520325203252E-2</v>
      </c>
      <c r="I16" s="87">
        <f>IFERROR(-I7/AVERAGE(I15:I15),0)</f>
        <v>1.7543859649122806E-2</v>
      </c>
      <c r="J16" s="87">
        <f>AVERAGE(E16:I16)</f>
        <v>2.3083919421362151E-2</v>
      </c>
    </row>
    <row r="18" spans="4:9" ht="16" customHeight="1" x14ac:dyDescent="0.2">
      <c r="D18" s="159"/>
      <c r="E18" s="159"/>
      <c r="F18" s="159"/>
      <c r="G18" s="159"/>
      <c r="H18" s="159"/>
      <c r="I18" s="159"/>
    </row>
  </sheetData>
  <conditionalFormatting sqref="D5:I8 D14:I16 C14:C15">
    <cfRule type="expression" dxfId="27" priority="29" stopIfTrue="1">
      <formula>C$5&gt;LPY</formula>
    </cfRule>
  </conditionalFormatting>
  <conditionalFormatting sqref="E13">
    <cfRule type="expression" dxfId="26" priority="3" stopIfTrue="1">
      <formula>E$5&gt;LPY</formula>
    </cfRule>
  </conditionalFormatting>
  <conditionalFormatting sqref="C9">
    <cfRule type="expression" dxfId="25" priority="27" stopIfTrue="1">
      <formula>C$5&gt;LPY</formula>
    </cfRule>
  </conditionalFormatting>
  <conditionalFormatting sqref="J5:J16">
    <cfRule type="expression" dxfId="24" priority="26" stopIfTrue="1">
      <formula>J$5&gt;LPY</formula>
    </cfRule>
  </conditionalFormatting>
  <conditionalFormatting sqref="C7">
    <cfRule type="expression" dxfId="23" priority="25" stopIfTrue="1">
      <formula>C$5&gt;LPY</formula>
    </cfRule>
  </conditionalFormatting>
  <conditionalFormatting sqref="D9">
    <cfRule type="expression" dxfId="22" priority="24" stopIfTrue="1">
      <formula>D$5&gt;LPY</formula>
    </cfRule>
  </conditionalFormatting>
  <conditionalFormatting sqref="E9">
    <cfRule type="expression" dxfId="21" priority="23" stopIfTrue="1">
      <formula>E$5&gt;LPY</formula>
    </cfRule>
  </conditionalFormatting>
  <conditionalFormatting sqref="F9">
    <cfRule type="expression" dxfId="20" priority="22" stopIfTrue="1">
      <formula>F$5&gt;LPY</formula>
    </cfRule>
  </conditionalFormatting>
  <conditionalFormatting sqref="G9:I9">
    <cfRule type="expression" dxfId="19" priority="21" stopIfTrue="1">
      <formula>G$5&gt;LPY</formula>
    </cfRule>
  </conditionalFormatting>
  <conditionalFormatting sqref="C10">
    <cfRule type="expression" dxfId="18" priority="20" stopIfTrue="1">
      <formula>C$5&gt;LPY</formula>
    </cfRule>
  </conditionalFormatting>
  <conditionalFormatting sqref="D10">
    <cfRule type="expression" dxfId="17" priority="19" stopIfTrue="1">
      <formula>D$5&gt;LPY</formula>
    </cfRule>
  </conditionalFormatting>
  <conditionalFormatting sqref="E10">
    <cfRule type="expression" dxfId="16" priority="18" stopIfTrue="1">
      <formula>E$5&gt;LPY</formula>
    </cfRule>
  </conditionalFormatting>
  <conditionalFormatting sqref="F10">
    <cfRule type="expression" dxfId="15" priority="17" stopIfTrue="1">
      <formula>F$5&gt;LPY</formula>
    </cfRule>
  </conditionalFormatting>
  <conditionalFormatting sqref="G10:I10">
    <cfRule type="expression" dxfId="14" priority="16" stopIfTrue="1">
      <formula>G$5&gt;LPY</formula>
    </cfRule>
  </conditionalFormatting>
  <conditionalFormatting sqref="C11">
    <cfRule type="expression" dxfId="13" priority="15" stopIfTrue="1">
      <formula>C$5&gt;LPY</formula>
    </cfRule>
  </conditionalFormatting>
  <conditionalFormatting sqref="D11">
    <cfRule type="expression" dxfId="12" priority="14" stopIfTrue="1">
      <formula>D$5&gt;LPY</formula>
    </cfRule>
  </conditionalFormatting>
  <conditionalFormatting sqref="E11">
    <cfRule type="expression" dxfId="11" priority="13" stopIfTrue="1">
      <formula>E$5&gt;LPY</formula>
    </cfRule>
  </conditionalFormatting>
  <conditionalFormatting sqref="F11">
    <cfRule type="expression" dxfId="10" priority="12" stopIfTrue="1">
      <formula>F$5&gt;LPY</formula>
    </cfRule>
  </conditionalFormatting>
  <conditionalFormatting sqref="G11:I11">
    <cfRule type="expression" dxfId="9" priority="11" stopIfTrue="1">
      <formula>G$5&gt;LPY</formula>
    </cfRule>
  </conditionalFormatting>
  <conditionalFormatting sqref="C12">
    <cfRule type="expression" dxfId="8" priority="10" stopIfTrue="1">
      <formula>C$5&gt;LPY</formula>
    </cfRule>
  </conditionalFormatting>
  <conditionalFormatting sqref="D12">
    <cfRule type="expression" dxfId="7" priority="9" stopIfTrue="1">
      <formula>D$5&gt;LPY</formula>
    </cfRule>
  </conditionalFormatting>
  <conditionalFormatting sqref="E12">
    <cfRule type="expression" dxfId="6" priority="8" stopIfTrue="1">
      <formula>E$5&gt;LPY</formula>
    </cfRule>
  </conditionalFormatting>
  <conditionalFormatting sqref="F12">
    <cfRule type="expression" dxfId="5" priority="7" stopIfTrue="1">
      <formula>F$5&gt;LPY</formula>
    </cfRule>
  </conditionalFormatting>
  <conditionalFormatting sqref="G12:I12">
    <cfRule type="expression" dxfId="4" priority="6" stopIfTrue="1">
      <formula>G$5&gt;LPY</formula>
    </cfRule>
  </conditionalFormatting>
  <conditionalFormatting sqref="C13">
    <cfRule type="expression" dxfId="3" priority="5" stopIfTrue="1">
      <formula>C$5&gt;LPY</formula>
    </cfRule>
  </conditionalFormatting>
  <conditionalFormatting sqref="D13">
    <cfRule type="expression" dxfId="2" priority="4" stopIfTrue="1">
      <formula>D$5&gt;LPY</formula>
    </cfRule>
  </conditionalFormatting>
  <conditionalFormatting sqref="F13">
    <cfRule type="expression" dxfId="1" priority="2" stopIfTrue="1">
      <formula>F$5&gt;LPY</formula>
    </cfRule>
  </conditionalFormatting>
  <conditionalFormatting sqref="G13:I13">
    <cfRule type="expression" dxfId="0" priority="1" stopIfTrue="1">
      <formula>G$5&gt;LPY</formula>
    </cfRule>
  </conditionalFormatting>
  <hyperlinks>
    <hyperlink ref="A1" location="Index!A1" display="Index" xr:uid="{C52EC49A-47FE-4248-81C1-5D09F3DA907A}"/>
  </hyperlink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F190"/>
  <sheetViews>
    <sheetView showGridLines="0" zoomScale="90" zoomScaleNormal="90" zoomScalePageLayoutView="90" workbookViewId="0"/>
  </sheetViews>
  <sheetFormatPr baseColWidth="10" defaultRowHeight="16" customHeight="1" x14ac:dyDescent="0.2"/>
  <cols>
    <col min="1" max="1" width="3.6640625" style="40" customWidth="1"/>
    <col min="2" max="2" width="25.83203125" style="40" bestFit="1" customWidth="1"/>
    <col min="3" max="16384" width="10.83203125" style="40"/>
  </cols>
  <sheetData>
    <row r="1" spans="1:6" s="169" customFormat="1" ht="11" x14ac:dyDescent="0.15">
      <c r="A1" s="198" t="s">
        <v>333</v>
      </c>
    </row>
    <row r="2" spans="1:6" s="169" customFormat="1" ht="11" x14ac:dyDescent="0.15">
      <c r="A2" s="169" t="str">
        <f>Cover!$B$7</f>
        <v>Discount rate estimation</v>
      </c>
    </row>
    <row r="3" spans="1:6" s="193" customFormat="1" x14ac:dyDescent="0.2">
      <c r="A3" s="194" t="str">
        <f ca="1">MID(CELL("filename",A1),FIND("]",CELL("filename",A1))+1,255)</f>
        <v>Tax</v>
      </c>
    </row>
    <row r="5" spans="1:6" ht="16" customHeight="1" x14ac:dyDescent="0.2">
      <c r="B5" s="30" t="s">
        <v>62</v>
      </c>
      <c r="C5" s="31"/>
      <c r="D5" s="31"/>
      <c r="E5" s="31"/>
      <c r="F5" s="32"/>
    </row>
    <row r="6" spans="1:6" ht="16" customHeight="1" x14ac:dyDescent="0.2">
      <c r="B6" s="66" t="s">
        <v>10</v>
      </c>
      <c r="C6" s="67">
        <v>2021</v>
      </c>
      <c r="D6" s="67">
        <v>2020</v>
      </c>
      <c r="E6" s="67">
        <v>2019</v>
      </c>
      <c r="F6" s="68">
        <v>2018</v>
      </c>
    </row>
    <row r="7" spans="1:6" ht="16" customHeight="1" x14ac:dyDescent="0.2">
      <c r="B7" s="61" t="s">
        <v>63</v>
      </c>
      <c r="C7" s="99">
        <v>0.2</v>
      </c>
      <c r="D7" s="99">
        <v>0.2</v>
      </c>
      <c r="E7" s="100">
        <v>0.2</v>
      </c>
      <c r="F7" s="101">
        <v>0.2</v>
      </c>
    </row>
    <row r="8" spans="1:6" ht="16" customHeight="1" x14ac:dyDescent="0.2">
      <c r="B8" s="61" t="s">
        <v>64</v>
      </c>
      <c r="C8" s="99">
        <v>0.15</v>
      </c>
      <c r="D8" s="99">
        <v>0.15</v>
      </c>
      <c r="E8" s="100">
        <v>0.15</v>
      </c>
      <c r="F8" s="101">
        <v>0.15</v>
      </c>
    </row>
    <row r="9" spans="1:6" ht="16" customHeight="1" x14ac:dyDescent="0.2">
      <c r="B9" s="61" t="s">
        <v>65</v>
      </c>
      <c r="C9" s="99">
        <v>0.26</v>
      </c>
      <c r="D9" s="99">
        <v>0.26</v>
      </c>
      <c r="E9" s="100">
        <v>0.26</v>
      </c>
      <c r="F9" s="101">
        <v>0.26</v>
      </c>
    </row>
    <row r="10" spans="1:6" ht="16" customHeight="1" x14ac:dyDescent="0.2">
      <c r="B10" s="61" t="s">
        <v>66</v>
      </c>
      <c r="C10" s="99">
        <v>0.1</v>
      </c>
      <c r="D10" s="99">
        <v>0.1</v>
      </c>
      <c r="E10" s="100">
        <v>0.1</v>
      </c>
      <c r="F10" s="101">
        <v>0.1</v>
      </c>
    </row>
    <row r="11" spans="1:6" ht="16" customHeight="1" x14ac:dyDescent="0.2">
      <c r="B11" s="61" t="s">
        <v>67</v>
      </c>
      <c r="C11" s="99">
        <v>0.25</v>
      </c>
      <c r="D11" s="99">
        <v>0.3</v>
      </c>
      <c r="E11" s="100">
        <v>0.3</v>
      </c>
      <c r="F11" s="101">
        <v>0.3</v>
      </c>
    </row>
    <row r="12" spans="1:6" ht="16" customHeight="1" x14ac:dyDescent="0.2">
      <c r="B12" s="61" t="s">
        <v>68</v>
      </c>
      <c r="C12" s="99">
        <v>0</v>
      </c>
      <c r="D12" s="99">
        <v>0</v>
      </c>
      <c r="E12" s="100">
        <v>0</v>
      </c>
      <c r="F12" s="101">
        <v>0</v>
      </c>
    </row>
    <row r="13" spans="1:6" ht="16" customHeight="1" x14ac:dyDescent="0.2">
      <c r="B13" s="61" t="s">
        <v>69</v>
      </c>
      <c r="C13" s="99">
        <v>0.25</v>
      </c>
      <c r="D13" s="99">
        <v>0.25</v>
      </c>
      <c r="E13" s="100">
        <v>0.25</v>
      </c>
      <c r="F13" s="101">
        <v>0.25</v>
      </c>
    </row>
    <row r="14" spans="1:6" ht="16" customHeight="1" x14ac:dyDescent="0.2">
      <c r="B14" s="61" t="s">
        <v>70</v>
      </c>
      <c r="C14" s="99">
        <v>0.25</v>
      </c>
      <c r="D14" s="99">
        <v>0.3</v>
      </c>
      <c r="E14" s="100">
        <v>0.3</v>
      </c>
      <c r="F14" s="101">
        <v>0.3</v>
      </c>
    </row>
    <row r="15" spans="1:6" ht="16" customHeight="1" x14ac:dyDescent="0.2">
      <c r="B15" s="61" t="s">
        <v>71</v>
      </c>
      <c r="C15" s="99">
        <v>0.18</v>
      </c>
      <c r="D15" s="99">
        <v>0.18</v>
      </c>
      <c r="E15" s="100">
        <v>0.2</v>
      </c>
      <c r="F15" s="101">
        <v>0.2</v>
      </c>
    </row>
    <row r="16" spans="1:6" ht="16" customHeight="1" x14ac:dyDescent="0.2">
      <c r="B16" s="61" t="s">
        <v>72</v>
      </c>
      <c r="C16" s="99">
        <v>0.25</v>
      </c>
      <c r="D16" s="99">
        <v>0.25</v>
      </c>
      <c r="E16" s="100">
        <v>0.25</v>
      </c>
      <c r="F16" s="101">
        <v>0.25</v>
      </c>
    </row>
    <row r="17" spans="2:6" ht="16" customHeight="1" x14ac:dyDescent="0.2">
      <c r="B17" s="61" t="s">
        <v>73</v>
      </c>
      <c r="C17" s="99">
        <v>0.3</v>
      </c>
      <c r="D17" s="99">
        <v>0.3</v>
      </c>
      <c r="E17" s="100">
        <v>0.3</v>
      </c>
      <c r="F17" s="101">
        <v>0.3</v>
      </c>
    </row>
    <row r="18" spans="2:6" ht="16" customHeight="1" x14ac:dyDescent="0.2">
      <c r="B18" s="61" t="s">
        <v>74</v>
      </c>
      <c r="C18" s="99">
        <v>0.25</v>
      </c>
      <c r="D18" s="99">
        <v>0.25</v>
      </c>
      <c r="E18" s="100">
        <v>0.25</v>
      </c>
      <c r="F18" s="101">
        <v>0.25</v>
      </c>
    </row>
    <row r="19" spans="2:6" ht="16" customHeight="1" x14ac:dyDescent="0.2">
      <c r="B19" s="61" t="s">
        <v>75</v>
      </c>
      <c r="C19" s="99">
        <v>0.2</v>
      </c>
      <c r="D19" s="99">
        <v>0.2</v>
      </c>
      <c r="E19" s="100">
        <v>0.2</v>
      </c>
      <c r="F19" s="101">
        <v>0.2</v>
      </c>
    </row>
    <row r="20" spans="2:6" ht="16" customHeight="1" x14ac:dyDescent="0.2">
      <c r="B20" s="61" t="s">
        <v>76</v>
      </c>
      <c r="C20" s="99">
        <v>0</v>
      </c>
      <c r="D20" s="99">
        <v>0</v>
      </c>
      <c r="E20" s="100">
        <v>0</v>
      </c>
      <c r="F20" s="101">
        <v>0</v>
      </c>
    </row>
    <row r="21" spans="2:6" ht="16" customHeight="1" x14ac:dyDescent="0.2">
      <c r="B21" s="61" t="s">
        <v>77</v>
      </c>
      <c r="C21" s="99">
        <v>0</v>
      </c>
      <c r="D21" s="99">
        <v>0</v>
      </c>
      <c r="E21" s="100">
        <v>0</v>
      </c>
      <c r="F21" s="101">
        <v>0</v>
      </c>
    </row>
    <row r="22" spans="2:6" ht="16" customHeight="1" x14ac:dyDescent="0.2">
      <c r="B22" s="61" t="s">
        <v>78</v>
      </c>
      <c r="C22" s="99">
        <v>0.32500000000000001</v>
      </c>
      <c r="D22" s="99">
        <v>0.25</v>
      </c>
      <c r="E22" s="100">
        <v>0.25</v>
      </c>
      <c r="F22" s="101">
        <v>0.25</v>
      </c>
    </row>
    <row r="23" spans="2:6" ht="16" customHeight="1" x14ac:dyDescent="0.2">
      <c r="B23" s="61" t="s">
        <v>79</v>
      </c>
      <c r="C23" s="99">
        <v>5.5E-2</v>
      </c>
      <c r="D23" s="99">
        <v>5.5E-2</v>
      </c>
      <c r="E23" s="100">
        <v>5.5E-2</v>
      </c>
      <c r="F23" s="101">
        <v>0.3</v>
      </c>
    </row>
    <row r="24" spans="2:6" ht="16" customHeight="1" x14ac:dyDescent="0.2">
      <c r="B24" s="61" t="s">
        <v>80</v>
      </c>
      <c r="C24" s="99">
        <v>0.18</v>
      </c>
      <c r="D24" s="99">
        <v>0.18</v>
      </c>
      <c r="E24" s="100">
        <v>0.18</v>
      </c>
      <c r="F24" s="101">
        <v>0.18</v>
      </c>
    </row>
    <row r="25" spans="2:6" ht="16" customHeight="1" x14ac:dyDescent="0.2">
      <c r="B25" s="61" t="s">
        <v>81</v>
      </c>
      <c r="C25" s="99">
        <v>0.25</v>
      </c>
      <c r="D25" s="99">
        <v>0.28999999999999998</v>
      </c>
      <c r="E25" s="100">
        <v>0.28999999999999998</v>
      </c>
      <c r="F25" s="101">
        <v>0.28999999999999998</v>
      </c>
    </row>
    <row r="26" spans="2:6" ht="16" customHeight="1" x14ac:dyDescent="0.2">
      <c r="B26" s="61" t="s">
        <v>82</v>
      </c>
      <c r="C26" s="99">
        <v>0.3</v>
      </c>
      <c r="D26" s="99">
        <v>0.3</v>
      </c>
      <c r="E26" s="100">
        <v>0.3</v>
      </c>
      <c r="F26" s="101">
        <v>0.3</v>
      </c>
    </row>
    <row r="27" spans="2:6" ht="16" customHeight="1" x14ac:dyDescent="0.2">
      <c r="B27" s="61" t="s">
        <v>83</v>
      </c>
      <c r="C27" s="99">
        <v>0</v>
      </c>
      <c r="D27" s="99">
        <v>0</v>
      </c>
      <c r="E27" s="100">
        <v>0</v>
      </c>
      <c r="F27" s="101">
        <v>0</v>
      </c>
    </row>
    <row r="28" spans="2:6" ht="16" customHeight="1" x14ac:dyDescent="0.2">
      <c r="B28" s="61" t="s">
        <v>84</v>
      </c>
      <c r="C28" s="99">
        <v>0.25</v>
      </c>
      <c r="D28" s="99">
        <v>0.25</v>
      </c>
      <c r="E28" s="100">
        <v>0.25</v>
      </c>
      <c r="F28" s="101">
        <v>0.25</v>
      </c>
    </row>
    <row r="29" spans="2:6" ht="16" customHeight="1" x14ac:dyDescent="0.2">
      <c r="B29" s="61" t="s">
        <v>85</v>
      </c>
      <c r="C29" s="99">
        <v>0.25</v>
      </c>
      <c r="D29" s="99">
        <v>0.25</v>
      </c>
      <c r="E29" s="100">
        <v>0.25</v>
      </c>
      <c r="F29" s="101">
        <v>0.25</v>
      </c>
    </row>
    <row r="30" spans="2:6" ht="16" customHeight="1" x14ac:dyDescent="0.2">
      <c r="B30" s="61" t="s">
        <v>86</v>
      </c>
      <c r="C30" s="99">
        <v>0.1</v>
      </c>
      <c r="D30" s="99">
        <v>0.1</v>
      </c>
      <c r="E30" s="100">
        <v>0.1</v>
      </c>
      <c r="F30" s="101">
        <v>0.1</v>
      </c>
    </row>
    <row r="31" spans="2:6" ht="16" customHeight="1" x14ac:dyDescent="0.2">
      <c r="B31" s="61" t="s">
        <v>87</v>
      </c>
      <c r="C31" s="99">
        <v>0.22</v>
      </c>
      <c r="D31" s="99">
        <v>0.22</v>
      </c>
      <c r="E31" s="100">
        <v>0.22</v>
      </c>
      <c r="F31" s="101">
        <v>0.22</v>
      </c>
    </row>
    <row r="32" spans="2:6" ht="16" customHeight="1" x14ac:dyDescent="0.2">
      <c r="B32" s="61" t="s">
        <v>88</v>
      </c>
      <c r="C32" s="99">
        <v>0.34</v>
      </c>
      <c r="D32" s="99">
        <v>0.34</v>
      </c>
      <c r="E32" s="100">
        <v>0.34</v>
      </c>
      <c r="F32" s="101">
        <v>0.34</v>
      </c>
    </row>
    <row r="33" spans="2:6" ht="16" customHeight="1" x14ac:dyDescent="0.2">
      <c r="B33" s="61" t="s">
        <v>89</v>
      </c>
      <c r="C33" s="99">
        <v>0.185</v>
      </c>
      <c r="D33" s="99">
        <v>0.185</v>
      </c>
      <c r="E33" s="100">
        <v>0.185</v>
      </c>
      <c r="F33" s="101">
        <v>0.185</v>
      </c>
    </row>
    <row r="34" spans="2:6" ht="16" customHeight="1" x14ac:dyDescent="0.2">
      <c r="B34" s="61" t="s">
        <v>90</v>
      </c>
      <c r="C34" s="99">
        <v>0.1</v>
      </c>
      <c r="D34" s="99">
        <v>0.1</v>
      </c>
      <c r="E34" s="100">
        <v>0.1</v>
      </c>
      <c r="F34" s="101">
        <v>0.1</v>
      </c>
    </row>
    <row r="35" spans="2:6" ht="16" customHeight="1" x14ac:dyDescent="0.2">
      <c r="B35" s="61" t="s">
        <v>91</v>
      </c>
      <c r="C35" s="99">
        <v>0.28000000000000003</v>
      </c>
      <c r="D35" s="99">
        <v>0.28000000000000003</v>
      </c>
      <c r="E35" s="100">
        <v>0.28000000000000003</v>
      </c>
      <c r="F35" s="101">
        <v>0.28000000000000003</v>
      </c>
    </row>
    <row r="36" spans="2:6" ht="16" customHeight="1" x14ac:dyDescent="0.2">
      <c r="B36" s="61" t="s">
        <v>92</v>
      </c>
      <c r="C36" s="99">
        <v>0.3</v>
      </c>
      <c r="D36" s="99">
        <v>0.3</v>
      </c>
      <c r="E36" s="100">
        <v>0.3</v>
      </c>
      <c r="F36" s="101">
        <v>0.3</v>
      </c>
    </row>
    <row r="37" spans="2:6" ht="16" customHeight="1" x14ac:dyDescent="0.2">
      <c r="B37" s="61" t="s">
        <v>93</v>
      </c>
      <c r="C37" s="99">
        <v>0.2</v>
      </c>
      <c r="D37" s="99">
        <v>0.2</v>
      </c>
      <c r="E37" s="100">
        <v>0.2</v>
      </c>
      <c r="F37" s="101">
        <v>0.2</v>
      </c>
    </row>
    <row r="38" spans="2:6" ht="16" customHeight="1" x14ac:dyDescent="0.2">
      <c r="B38" s="61" t="s">
        <v>94</v>
      </c>
      <c r="C38" s="99">
        <v>0.33</v>
      </c>
      <c r="D38" s="99">
        <v>0.33</v>
      </c>
      <c r="E38" s="100">
        <v>0.33</v>
      </c>
      <c r="F38" s="101">
        <v>0.33</v>
      </c>
    </row>
    <row r="39" spans="2:6" ht="16" customHeight="1" x14ac:dyDescent="0.2">
      <c r="B39" s="61" t="s">
        <v>95</v>
      </c>
      <c r="C39" s="99">
        <v>0.26500000000000001</v>
      </c>
      <c r="D39" s="99">
        <v>0.26500000000000001</v>
      </c>
      <c r="E39" s="100">
        <v>0.26500000000000001</v>
      </c>
      <c r="F39" s="101">
        <v>0.26500000000000001</v>
      </c>
    </row>
    <row r="40" spans="2:6" ht="16" customHeight="1" x14ac:dyDescent="0.2">
      <c r="B40" s="61" t="s">
        <v>96</v>
      </c>
      <c r="C40" s="99">
        <v>0</v>
      </c>
      <c r="D40" s="99">
        <v>0</v>
      </c>
      <c r="E40" s="100">
        <v>0</v>
      </c>
      <c r="F40" s="101">
        <v>0</v>
      </c>
    </row>
    <row r="41" spans="2:6" ht="16" customHeight="1" x14ac:dyDescent="0.2">
      <c r="B41" s="61" t="s">
        <v>97</v>
      </c>
      <c r="C41" s="99">
        <v>0.27</v>
      </c>
      <c r="D41" s="99">
        <v>0.27</v>
      </c>
      <c r="E41" s="100">
        <v>0.27</v>
      </c>
      <c r="F41" s="101">
        <v>0.26</v>
      </c>
    </row>
    <row r="42" spans="2:6" ht="16" customHeight="1" x14ac:dyDescent="0.2">
      <c r="B42" s="61" t="s">
        <v>98</v>
      </c>
      <c r="C42" s="99">
        <v>0.25</v>
      </c>
      <c r="D42" s="99">
        <v>0.25</v>
      </c>
      <c r="E42" s="100">
        <v>0.25</v>
      </c>
      <c r="F42" s="101">
        <v>0.25</v>
      </c>
    </row>
    <row r="43" spans="2:6" ht="16" customHeight="1" x14ac:dyDescent="0.2">
      <c r="B43" s="61" t="s">
        <v>99</v>
      </c>
      <c r="C43" s="99">
        <v>0.31</v>
      </c>
      <c r="D43" s="99">
        <v>0.32</v>
      </c>
      <c r="E43" s="100">
        <v>0.33</v>
      </c>
      <c r="F43" s="101">
        <v>0.33</v>
      </c>
    </row>
    <row r="44" spans="2:6" ht="16" customHeight="1" x14ac:dyDescent="0.2">
      <c r="B44" s="61" t="s">
        <v>100</v>
      </c>
      <c r="C44" s="99">
        <v>0.3</v>
      </c>
      <c r="D44" s="99">
        <v>0.35</v>
      </c>
      <c r="E44" s="100">
        <v>0.35000000000000003</v>
      </c>
      <c r="F44" s="101">
        <v>0.35000000000000003</v>
      </c>
    </row>
    <row r="45" spans="2:6" ht="16" customHeight="1" x14ac:dyDescent="0.2">
      <c r="B45" s="61" t="s">
        <v>101</v>
      </c>
      <c r="C45" s="99">
        <v>0.3</v>
      </c>
      <c r="D45" s="99">
        <v>0.3</v>
      </c>
      <c r="E45" s="100">
        <v>0.3</v>
      </c>
      <c r="F45" s="101">
        <v>0.3</v>
      </c>
    </row>
    <row r="46" spans="2:6" ht="16" customHeight="1" x14ac:dyDescent="0.2">
      <c r="B46" s="61" t="s">
        <v>102</v>
      </c>
      <c r="C46" s="99">
        <v>0.18</v>
      </c>
      <c r="D46" s="99">
        <v>0.18</v>
      </c>
      <c r="E46" s="100">
        <v>0.18</v>
      </c>
      <c r="F46" s="101">
        <v>0.18</v>
      </c>
    </row>
    <row r="47" spans="2:6" ht="16" customHeight="1" x14ac:dyDescent="0.2">
      <c r="B47" s="61" t="s">
        <v>103</v>
      </c>
      <c r="C47" s="99">
        <v>0.22</v>
      </c>
      <c r="D47" s="99">
        <v>0.22</v>
      </c>
      <c r="E47" s="100">
        <v>0.22</v>
      </c>
      <c r="F47" s="101">
        <v>0.22</v>
      </c>
    </row>
    <row r="48" spans="2:6" ht="16" customHeight="1" x14ac:dyDescent="0.2">
      <c r="B48" s="61" t="s">
        <v>104</v>
      </c>
      <c r="C48" s="99">
        <v>0.125</v>
      </c>
      <c r="D48" s="99">
        <v>0.125</v>
      </c>
      <c r="E48" s="100">
        <v>0.125</v>
      </c>
      <c r="F48" s="101">
        <v>0.125</v>
      </c>
    </row>
    <row r="49" spans="2:6" ht="16" customHeight="1" x14ac:dyDescent="0.2">
      <c r="B49" s="61" t="s">
        <v>105</v>
      </c>
      <c r="C49" s="99">
        <v>0.19</v>
      </c>
      <c r="D49" s="99">
        <v>0.19</v>
      </c>
      <c r="E49" s="100">
        <v>0.19</v>
      </c>
      <c r="F49" s="101">
        <v>0.19</v>
      </c>
    </row>
    <row r="50" spans="2:6" ht="16" customHeight="1" x14ac:dyDescent="0.2">
      <c r="B50" s="61" t="s">
        <v>106</v>
      </c>
      <c r="C50" s="99">
        <v>0.22</v>
      </c>
      <c r="D50" s="99">
        <v>0.22</v>
      </c>
      <c r="E50" s="100">
        <v>0.22</v>
      </c>
      <c r="F50" s="101">
        <v>0.22</v>
      </c>
    </row>
    <row r="51" spans="2:6" ht="16" customHeight="1" x14ac:dyDescent="0.2">
      <c r="B51" s="61" t="s">
        <v>107</v>
      </c>
      <c r="C51" s="99">
        <v>0.25</v>
      </c>
      <c r="D51" s="99">
        <v>0.25</v>
      </c>
      <c r="E51" s="100">
        <v>0.25</v>
      </c>
      <c r="F51" s="101">
        <v>0.25</v>
      </c>
    </row>
    <row r="52" spans="2:6" ht="16" customHeight="1" x14ac:dyDescent="0.2">
      <c r="B52" s="61" t="s">
        <v>108</v>
      </c>
      <c r="C52" s="99">
        <v>0.25</v>
      </c>
      <c r="D52" s="99">
        <v>0.25</v>
      </c>
      <c r="E52" s="100">
        <v>0.25</v>
      </c>
      <c r="F52" s="101">
        <v>0.25</v>
      </c>
    </row>
    <row r="53" spans="2:6" ht="16" customHeight="1" x14ac:dyDescent="0.2">
      <c r="B53" s="61" t="s">
        <v>109</v>
      </c>
      <c r="C53" s="99">
        <v>0.28000000000000003</v>
      </c>
      <c r="D53" s="99">
        <v>0.27</v>
      </c>
      <c r="E53" s="100">
        <v>0.27</v>
      </c>
      <c r="F53" s="101">
        <v>0.27</v>
      </c>
    </row>
    <row r="54" spans="2:6" ht="16" customHeight="1" x14ac:dyDescent="0.2">
      <c r="B54" s="61" t="s">
        <v>110</v>
      </c>
      <c r="C54" s="99">
        <v>0.25</v>
      </c>
      <c r="D54" s="99">
        <v>0.25</v>
      </c>
      <c r="E54" s="100">
        <v>0.25</v>
      </c>
      <c r="F54" s="101">
        <v>0.25</v>
      </c>
    </row>
    <row r="55" spans="2:6" ht="16" customHeight="1" x14ac:dyDescent="0.2">
      <c r="B55" s="61" t="s">
        <v>111</v>
      </c>
      <c r="C55" s="99">
        <v>0.22500000000000001</v>
      </c>
      <c r="D55" s="99">
        <v>0.22500000000000001</v>
      </c>
      <c r="E55" s="100">
        <v>0.22500000000000001</v>
      </c>
      <c r="F55" s="101">
        <v>0.23</v>
      </c>
    </row>
    <row r="56" spans="2:6" ht="16" customHeight="1" x14ac:dyDescent="0.2">
      <c r="B56" s="61" t="s">
        <v>112</v>
      </c>
      <c r="C56" s="99">
        <v>0.3</v>
      </c>
      <c r="D56" s="99">
        <v>0.3</v>
      </c>
      <c r="E56" s="100">
        <v>0.3</v>
      </c>
      <c r="F56" s="101">
        <v>0.3</v>
      </c>
    </row>
    <row r="57" spans="2:6" ht="16" customHeight="1" x14ac:dyDescent="0.2">
      <c r="B57" s="61" t="s">
        <v>113</v>
      </c>
      <c r="C57" s="99">
        <v>0.2</v>
      </c>
      <c r="D57" s="99">
        <v>0.2</v>
      </c>
      <c r="E57" s="100">
        <v>0.2</v>
      </c>
      <c r="F57" s="101">
        <v>0.2</v>
      </c>
    </row>
    <row r="58" spans="2:6" ht="16" customHeight="1" x14ac:dyDescent="0.2">
      <c r="B58" s="61" t="s">
        <v>114</v>
      </c>
      <c r="C58" s="99">
        <v>0.3</v>
      </c>
      <c r="D58" s="99">
        <v>0.3</v>
      </c>
      <c r="E58" s="100">
        <v>0.3</v>
      </c>
      <c r="F58" s="101">
        <v>0.3</v>
      </c>
    </row>
    <row r="59" spans="2:6" ht="16" customHeight="1" x14ac:dyDescent="0.2">
      <c r="B59" s="61" t="s">
        <v>115</v>
      </c>
      <c r="C59" s="99">
        <v>0.2</v>
      </c>
      <c r="D59" s="99">
        <v>0.2</v>
      </c>
      <c r="E59" s="100">
        <v>0.2</v>
      </c>
      <c r="F59" s="101">
        <v>0.2</v>
      </c>
    </row>
    <row r="60" spans="2:6" ht="16" customHeight="1" x14ac:dyDescent="0.2">
      <c r="B60" s="61" t="s">
        <v>116</v>
      </c>
      <c r="C60" s="99">
        <v>0.2</v>
      </c>
      <c r="D60" s="99">
        <v>0.2</v>
      </c>
      <c r="E60" s="100">
        <v>0.2</v>
      </c>
      <c r="F60" s="101">
        <v>0.2</v>
      </c>
    </row>
    <row r="61" spans="2:6" ht="16" customHeight="1" x14ac:dyDescent="0.2">
      <c r="B61" s="61" t="s">
        <v>117</v>
      </c>
      <c r="C61" s="99">
        <v>0.26500000000000001</v>
      </c>
      <c r="D61" s="99">
        <v>0.28000000000000003</v>
      </c>
      <c r="E61" s="100">
        <v>0.31</v>
      </c>
      <c r="F61" s="101">
        <v>0.33</v>
      </c>
    </row>
    <row r="62" spans="2:6" ht="16" customHeight="1" x14ac:dyDescent="0.2">
      <c r="B62" s="61" t="s">
        <v>118</v>
      </c>
      <c r="C62" s="99">
        <v>0.3</v>
      </c>
      <c r="D62" s="99">
        <v>0.3</v>
      </c>
      <c r="E62" s="100">
        <v>0.3</v>
      </c>
      <c r="F62" s="101">
        <v>0.3</v>
      </c>
    </row>
    <row r="63" spans="2:6" ht="16" customHeight="1" x14ac:dyDescent="0.2">
      <c r="B63" s="61" t="s">
        <v>119</v>
      </c>
      <c r="C63" s="99">
        <v>0.27</v>
      </c>
      <c r="D63" s="99">
        <v>0.31</v>
      </c>
      <c r="E63" s="100">
        <v>0.31</v>
      </c>
      <c r="F63" s="101">
        <v>0.31</v>
      </c>
    </row>
    <row r="64" spans="2:6" ht="16" customHeight="1" x14ac:dyDescent="0.2">
      <c r="B64" s="61" t="s">
        <v>120</v>
      </c>
      <c r="C64" s="99">
        <v>0.15</v>
      </c>
      <c r="D64" s="99">
        <v>0.15</v>
      </c>
      <c r="E64" s="100">
        <v>0.15</v>
      </c>
      <c r="F64" s="101">
        <v>0.15</v>
      </c>
    </row>
    <row r="65" spans="2:6" ht="16" customHeight="1" x14ac:dyDescent="0.2">
      <c r="B65" s="61" t="s">
        <v>121</v>
      </c>
      <c r="C65" s="99">
        <v>0.3</v>
      </c>
      <c r="D65" s="99">
        <v>0.3</v>
      </c>
      <c r="E65" s="100">
        <v>0.3</v>
      </c>
      <c r="F65" s="101">
        <v>0.3</v>
      </c>
    </row>
    <row r="66" spans="2:6" ht="16" customHeight="1" x14ac:dyDescent="0.2">
      <c r="B66" s="61" t="s">
        <v>122</v>
      </c>
      <c r="C66" s="99">
        <v>0.25</v>
      </c>
      <c r="D66" s="99">
        <v>0.25</v>
      </c>
      <c r="E66" s="100">
        <v>0.25</v>
      </c>
      <c r="F66" s="101">
        <v>0.25</v>
      </c>
    </row>
    <row r="67" spans="2:6" ht="16" customHeight="1" x14ac:dyDescent="0.2">
      <c r="B67" s="61" t="s">
        <v>123</v>
      </c>
      <c r="C67" s="99">
        <v>0.1</v>
      </c>
      <c r="D67" s="99">
        <v>0.1</v>
      </c>
      <c r="E67" s="100">
        <v>0.1</v>
      </c>
      <c r="F67" s="101">
        <v>0.1</v>
      </c>
    </row>
    <row r="68" spans="2:6" ht="16" customHeight="1" x14ac:dyDescent="0.2">
      <c r="B68" s="61" t="s">
        <v>124</v>
      </c>
      <c r="C68" s="99">
        <v>0.24</v>
      </c>
      <c r="D68" s="99">
        <v>0.24</v>
      </c>
      <c r="E68" s="100">
        <v>0.28000000000000003</v>
      </c>
      <c r="F68" s="101">
        <v>0.28999999999999998</v>
      </c>
    </row>
    <row r="69" spans="2:6" ht="16" customHeight="1" x14ac:dyDescent="0.2">
      <c r="B69" s="61" t="s">
        <v>125</v>
      </c>
      <c r="C69" s="99">
        <v>0.28000000000000003</v>
      </c>
      <c r="D69" s="99">
        <v>0.28000000000000003</v>
      </c>
      <c r="E69" s="100">
        <v>0.28000000000000003</v>
      </c>
      <c r="F69" s="101">
        <v>0.3</v>
      </c>
    </row>
    <row r="70" spans="2:6" ht="16" customHeight="1" x14ac:dyDescent="0.2">
      <c r="B70" s="61" t="s">
        <v>126</v>
      </c>
      <c r="C70" s="99">
        <v>0.25</v>
      </c>
      <c r="D70" s="99">
        <v>0.25</v>
      </c>
      <c r="E70" s="100">
        <v>0.25</v>
      </c>
      <c r="F70" s="101">
        <v>0.25</v>
      </c>
    </row>
    <row r="71" spans="2:6" ht="16" customHeight="1" x14ac:dyDescent="0.2">
      <c r="B71" s="61" t="s">
        <v>127</v>
      </c>
      <c r="C71" s="99">
        <v>0</v>
      </c>
      <c r="D71" s="99">
        <v>0</v>
      </c>
      <c r="E71" s="100">
        <v>0</v>
      </c>
      <c r="F71" s="101">
        <v>0</v>
      </c>
    </row>
    <row r="72" spans="2:6" ht="16" customHeight="1" x14ac:dyDescent="0.2">
      <c r="B72" s="61" t="s">
        <v>128</v>
      </c>
      <c r="C72" s="99">
        <v>0.25</v>
      </c>
      <c r="D72" s="99">
        <v>0.25</v>
      </c>
      <c r="E72" s="100">
        <v>0.25</v>
      </c>
      <c r="F72" s="101">
        <v>0.25</v>
      </c>
    </row>
    <row r="73" spans="2:6" ht="16" customHeight="1" x14ac:dyDescent="0.2">
      <c r="B73" s="61" t="s">
        <v>129</v>
      </c>
      <c r="C73" s="99">
        <v>0.16500000000000001</v>
      </c>
      <c r="D73" s="99">
        <v>0.16500000000000001</v>
      </c>
      <c r="E73" s="100">
        <v>0.16500000000000001</v>
      </c>
      <c r="F73" s="101">
        <v>0.16500000000000001</v>
      </c>
    </row>
    <row r="74" spans="2:6" ht="16" customHeight="1" x14ac:dyDescent="0.2">
      <c r="B74" s="61" t="s">
        <v>130</v>
      </c>
      <c r="C74" s="99">
        <v>0.09</v>
      </c>
      <c r="D74" s="99">
        <v>0.09</v>
      </c>
      <c r="E74" s="100">
        <v>0.09</v>
      </c>
      <c r="F74" s="101">
        <v>0.09</v>
      </c>
    </row>
    <row r="75" spans="2:6" ht="16" customHeight="1" x14ac:dyDescent="0.2">
      <c r="B75" s="61" t="s">
        <v>131</v>
      </c>
      <c r="C75" s="99">
        <v>0.2</v>
      </c>
      <c r="D75" s="99">
        <v>0.2</v>
      </c>
      <c r="E75" s="100">
        <v>0.2</v>
      </c>
      <c r="F75" s="101">
        <v>0.2</v>
      </c>
    </row>
    <row r="76" spans="2:6" ht="16" customHeight="1" x14ac:dyDescent="0.2">
      <c r="B76" s="61" t="s">
        <v>132</v>
      </c>
      <c r="C76" s="99">
        <v>0.3</v>
      </c>
      <c r="D76" s="99">
        <v>0.3</v>
      </c>
      <c r="E76" s="100">
        <v>0.3</v>
      </c>
      <c r="F76" s="101">
        <v>0.35000000000000003</v>
      </c>
    </row>
    <row r="77" spans="2:6" ht="16" customHeight="1" x14ac:dyDescent="0.2">
      <c r="B77" s="61" t="s">
        <v>133</v>
      </c>
      <c r="C77" s="99">
        <v>0.22</v>
      </c>
      <c r="D77" s="99">
        <v>0.25</v>
      </c>
      <c r="E77" s="100">
        <v>0.25</v>
      </c>
      <c r="F77" s="101">
        <v>0.25</v>
      </c>
    </row>
    <row r="78" spans="2:6" ht="16" customHeight="1" x14ac:dyDescent="0.2">
      <c r="B78" s="61" t="s">
        <v>134</v>
      </c>
      <c r="C78" s="99">
        <v>0.35</v>
      </c>
      <c r="D78" s="99">
        <v>0.15</v>
      </c>
      <c r="E78" s="100">
        <v>0.15</v>
      </c>
      <c r="F78" s="101">
        <v>0.15</v>
      </c>
    </row>
    <row r="79" spans="2:6" ht="16" customHeight="1" x14ac:dyDescent="0.2">
      <c r="B79" s="61" t="s">
        <v>135</v>
      </c>
      <c r="C79" s="99">
        <v>0.125</v>
      </c>
      <c r="D79" s="99">
        <v>0.125</v>
      </c>
      <c r="E79" s="100">
        <v>0.125</v>
      </c>
      <c r="F79" s="101">
        <v>0.125</v>
      </c>
    </row>
    <row r="80" spans="2:6" ht="16" customHeight="1" x14ac:dyDescent="0.2">
      <c r="B80" s="61" t="s">
        <v>136</v>
      </c>
      <c r="C80" s="99">
        <v>0</v>
      </c>
      <c r="D80" s="99">
        <v>0</v>
      </c>
      <c r="E80" s="100">
        <v>0</v>
      </c>
      <c r="F80" s="101">
        <v>0</v>
      </c>
    </row>
    <row r="81" spans="2:6" ht="16" customHeight="1" x14ac:dyDescent="0.2">
      <c r="B81" s="61" t="s">
        <v>137</v>
      </c>
      <c r="C81" s="99">
        <v>0.23</v>
      </c>
      <c r="D81" s="99">
        <v>0.23</v>
      </c>
      <c r="E81" s="100">
        <v>0.23</v>
      </c>
      <c r="F81" s="101">
        <v>0.23</v>
      </c>
    </row>
    <row r="82" spans="2:6" ht="16" customHeight="1" x14ac:dyDescent="0.2">
      <c r="B82" s="61" t="s">
        <v>138</v>
      </c>
      <c r="C82" s="99">
        <v>0.24</v>
      </c>
      <c r="D82" s="99">
        <v>0.24</v>
      </c>
      <c r="E82" s="100">
        <v>0.24</v>
      </c>
      <c r="F82" s="101">
        <v>0.24</v>
      </c>
    </row>
    <row r="83" spans="2:6" ht="16" customHeight="1" x14ac:dyDescent="0.2">
      <c r="B83" s="61" t="s">
        <v>139</v>
      </c>
      <c r="C83" s="99">
        <v>0.25</v>
      </c>
      <c r="D83" s="99">
        <v>0.25</v>
      </c>
      <c r="E83" s="100">
        <v>0.25</v>
      </c>
      <c r="F83" s="101">
        <v>0.25</v>
      </c>
    </row>
    <row r="84" spans="2:6" ht="16" customHeight="1" x14ac:dyDescent="0.2">
      <c r="B84" s="61" t="s">
        <v>140</v>
      </c>
      <c r="C84" s="99">
        <v>0.25</v>
      </c>
      <c r="D84" s="99">
        <v>0.25</v>
      </c>
      <c r="E84" s="100">
        <v>0.25</v>
      </c>
      <c r="F84" s="101">
        <v>0.25</v>
      </c>
    </row>
    <row r="85" spans="2:6" ht="16" customHeight="1" x14ac:dyDescent="0.2">
      <c r="B85" s="61" t="s">
        <v>141</v>
      </c>
      <c r="C85" s="99">
        <v>0.30620000000000003</v>
      </c>
      <c r="D85" s="99">
        <v>0.30620000000000003</v>
      </c>
      <c r="E85" s="100">
        <v>0.30620000000000003</v>
      </c>
      <c r="F85" s="101">
        <v>0.30859999999999999</v>
      </c>
    </row>
    <row r="86" spans="2:6" ht="16" customHeight="1" x14ac:dyDescent="0.2">
      <c r="B86" s="61" t="s">
        <v>142</v>
      </c>
      <c r="C86" s="99">
        <v>0</v>
      </c>
      <c r="D86" s="99">
        <v>0</v>
      </c>
      <c r="E86" s="100">
        <v>0</v>
      </c>
      <c r="F86" s="101">
        <v>0.2</v>
      </c>
    </row>
    <row r="87" spans="2:6" ht="16" customHeight="1" x14ac:dyDescent="0.2">
      <c r="B87" s="61" t="s">
        <v>143</v>
      </c>
      <c r="C87" s="99">
        <v>0.2</v>
      </c>
      <c r="D87" s="99">
        <v>0.2</v>
      </c>
      <c r="E87" s="100">
        <v>0.2</v>
      </c>
      <c r="F87" s="101">
        <v>0.2</v>
      </c>
    </row>
    <row r="88" spans="2:6" ht="16" customHeight="1" x14ac:dyDescent="0.2">
      <c r="B88" s="61" t="s">
        <v>144</v>
      </c>
      <c r="C88" s="99">
        <v>0.2</v>
      </c>
      <c r="D88" s="99">
        <v>0.2</v>
      </c>
      <c r="E88" s="100">
        <v>0.2</v>
      </c>
      <c r="F88" s="101">
        <v>0.2</v>
      </c>
    </row>
    <row r="89" spans="2:6" ht="16" customHeight="1" x14ac:dyDescent="0.2">
      <c r="B89" s="61" t="s">
        <v>145</v>
      </c>
      <c r="C89" s="99">
        <v>0.3</v>
      </c>
      <c r="D89" s="99">
        <v>0.3</v>
      </c>
      <c r="E89" s="100">
        <v>0.3</v>
      </c>
      <c r="F89" s="101">
        <v>0.3</v>
      </c>
    </row>
    <row r="90" spans="2:6" ht="16" customHeight="1" x14ac:dyDescent="0.2">
      <c r="B90" s="61" t="s">
        <v>146</v>
      </c>
      <c r="C90" s="99">
        <v>0.15</v>
      </c>
      <c r="D90" s="99">
        <v>0.15</v>
      </c>
      <c r="E90" s="100">
        <v>0.15</v>
      </c>
      <c r="F90" s="101">
        <v>0.15</v>
      </c>
    </row>
    <row r="91" spans="2:6" ht="16" customHeight="1" x14ac:dyDescent="0.2">
      <c r="B91" s="61" t="s">
        <v>147</v>
      </c>
      <c r="C91" s="99">
        <v>0.1</v>
      </c>
      <c r="D91" s="99">
        <v>0.1</v>
      </c>
      <c r="E91" s="100">
        <v>0.1</v>
      </c>
      <c r="F91" s="101">
        <v>0.1</v>
      </c>
    </row>
    <row r="92" spans="2:6" ht="16" customHeight="1" x14ac:dyDescent="0.2">
      <c r="B92" s="61" t="s">
        <v>148</v>
      </c>
      <c r="C92" s="99">
        <v>0.2</v>
      </c>
      <c r="D92" s="99">
        <v>0.2</v>
      </c>
      <c r="E92" s="100">
        <v>0.2</v>
      </c>
      <c r="F92" s="101">
        <v>0.2</v>
      </c>
    </row>
    <row r="93" spans="2:6" ht="16" customHeight="1" x14ac:dyDescent="0.2">
      <c r="B93" s="61" t="s">
        <v>149</v>
      </c>
      <c r="C93" s="99">
        <v>0.17</v>
      </c>
      <c r="D93" s="99">
        <v>0.17</v>
      </c>
      <c r="E93" s="100">
        <v>0.17</v>
      </c>
      <c r="F93" s="101">
        <v>0.15</v>
      </c>
    </row>
    <row r="94" spans="2:6" ht="16" customHeight="1" x14ac:dyDescent="0.2">
      <c r="B94" s="61" t="s">
        <v>150</v>
      </c>
      <c r="C94" s="99">
        <v>0.2</v>
      </c>
      <c r="D94" s="99">
        <v>0.2</v>
      </c>
      <c r="E94" s="100">
        <v>0.2</v>
      </c>
      <c r="F94" s="101">
        <v>0.2</v>
      </c>
    </row>
    <row r="95" spans="2:6" ht="16" customHeight="1" x14ac:dyDescent="0.2">
      <c r="B95" s="61" t="s">
        <v>151</v>
      </c>
      <c r="C95" s="99">
        <v>0.125</v>
      </c>
      <c r="D95" s="99">
        <v>0.125</v>
      </c>
      <c r="E95" s="100">
        <v>0.125</v>
      </c>
      <c r="F95" s="101">
        <v>0.125</v>
      </c>
    </row>
    <row r="96" spans="2:6" ht="16" customHeight="1" x14ac:dyDescent="0.2">
      <c r="B96" s="61" t="s">
        <v>152</v>
      </c>
      <c r="C96" s="99">
        <v>0.15</v>
      </c>
      <c r="D96" s="99">
        <v>0.15</v>
      </c>
      <c r="E96" s="100">
        <v>0.15</v>
      </c>
      <c r="F96" s="101">
        <v>0.15</v>
      </c>
    </row>
    <row r="97" spans="2:6" ht="16" customHeight="1" x14ac:dyDescent="0.2">
      <c r="B97" s="61" t="s">
        <v>153</v>
      </c>
      <c r="C97" s="99">
        <v>0.24940000000000001</v>
      </c>
      <c r="D97" s="99">
        <v>0.24940000000000001</v>
      </c>
      <c r="E97" s="100">
        <v>0.24940000000000001</v>
      </c>
      <c r="F97" s="101">
        <v>0.2601</v>
      </c>
    </row>
    <row r="98" spans="2:6" ht="16" customHeight="1" x14ac:dyDescent="0.2">
      <c r="B98" s="61" t="s">
        <v>154</v>
      </c>
      <c r="C98" s="99">
        <v>0.12</v>
      </c>
      <c r="D98" s="99">
        <v>0.12</v>
      </c>
      <c r="E98" s="100">
        <v>0.12</v>
      </c>
      <c r="F98" s="101">
        <v>0.12</v>
      </c>
    </row>
    <row r="99" spans="2:6" ht="16" customHeight="1" x14ac:dyDescent="0.2">
      <c r="B99" s="61" t="s">
        <v>155</v>
      </c>
      <c r="C99" s="99">
        <v>0.1</v>
      </c>
      <c r="D99" s="99">
        <v>0.1</v>
      </c>
      <c r="E99" s="100">
        <v>0.1</v>
      </c>
      <c r="F99" s="101">
        <v>0.1</v>
      </c>
    </row>
    <row r="100" spans="2:6" ht="16" customHeight="1" x14ac:dyDescent="0.2">
      <c r="B100" s="61" t="s">
        <v>156</v>
      </c>
      <c r="C100" s="99">
        <v>0.2</v>
      </c>
      <c r="D100" s="99">
        <v>0.2</v>
      </c>
      <c r="E100" s="100">
        <v>0.2</v>
      </c>
      <c r="F100" s="101">
        <v>0.2</v>
      </c>
    </row>
    <row r="101" spans="2:6" ht="16" customHeight="1" x14ac:dyDescent="0.2">
      <c r="B101" s="61" t="s">
        <v>157</v>
      </c>
      <c r="C101" s="99">
        <v>0.3</v>
      </c>
      <c r="D101" s="99">
        <v>0.3</v>
      </c>
      <c r="E101" s="100">
        <v>0.3</v>
      </c>
      <c r="F101" s="101">
        <v>0.3</v>
      </c>
    </row>
    <row r="102" spans="2:6" ht="16" customHeight="1" x14ac:dyDescent="0.2">
      <c r="B102" s="61" t="s">
        <v>158</v>
      </c>
      <c r="C102" s="99">
        <v>0.24</v>
      </c>
      <c r="D102" s="99">
        <v>0.24</v>
      </c>
      <c r="E102" s="100">
        <v>0.24</v>
      </c>
      <c r="F102" s="101">
        <v>0.24</v>
      </c>
    </row>
    <row r="103" spans="2:6" ht="16" customHeight="1" x14ac:dyDescent="0.2">
      <c r="B103" s="61" t="s">
        <v>159</v>
      </c>
      <c r="C103" s="99">
        <v>0.35</v>
      </c>
      <c r="D103" s="99">
        <v>0.35</v>
      </c>
      <c r="E103" s="100">
        <v>0.35000000000000003</v>
      </c>
      <c r="F103" s="101">
        <v>0.35000000000000003</v>
      </c>
    </row>
    <row r="104" spans="2:6" ht="16" customHeight="1" x14ac:dyDescent="0.2">
      <c r="B104" s="61" t="s">
        <v>315</v>
      </c>
      <c r="C104" s="99">
        <v>0.25</v>
      </c>
      <c r="D104" s="102" t="s">
        <v>316</v>
      </c>
      <c r="E104" s="102" t="s">
        <v>316</v>
      </c>
      <c r="F104" s="102" t="s">
        <v>316</v>
      </c>
    </row>
    <row r="105" spans="2:6" ht="16" customHeight="1" x14ac:dyDescent="0.2">
      <c r="B105" s="61" t="s">
        <v>160</v>
      </c>
      <c r="C105" s="99">
        <v>0.15</v>
      </c>
      <c r="D105" s="99">
        <v>0.15</v>
      </c>
      <c r="E105" s="100">
        <v>0.15</v>
      </c>
      <c r="F105" s="101">
        <v>0.15</v>
      </c>
    </row>
    <row r="106" spans="2:6" ht="16" customHeight="1" x14ac:dyDescent="0.2">
      <c r="B106" s="61" t="s">
        <v>161</v>
      </c>
      <c r="C106" s="99">
        <v>0.3</v>
      </c>
      <c r="D106" s="99">
        <v>0.3</v>
      </c>
      <c r="E106" s="100">
        <v>0.3</v>
      </c>
      <c r="F106" s="101">
        <v>0.3</v>
      </c>
    </row>
    <row r="107" spans="2:6" ht="16" customHeight="1" x14ac:dyDescent="0.2">
      <c r="B107" s="61" t="s">
        <v>162</v>
      </c>
      <c r="C107" s="99">
        <v>0.12</v>
      </c>
      <c r="D107" s="99">
        <v>0.12</v>
      </c>
      <c r="E107" s="100">
        <v>0.12</v>
      </c>
      <c r="F107" s="101">
        <v>0.12</v>
      </c>
    </row>
    <row r="108" spans="2:6" ht="16" customHeight="1" x14ac:dyDescent="0.2">
      <c r="B108" s="61" t="s">
        <v>163</v>
      </c>
      <c r="C108" s="99">
        <v>0.33</v>
      </c>
      <c r="D108" s="99">
        <v>0.33</v>
      </c>
      <c r="E108" s="100">
        <v>0.33</v>
      </c>
      <c r="F108" s="101">
        <v>0.33</v>
      </c>
    </row>
    <row r="109" spans="2:6" ht="16" customHeight="1" x14ac:dyDescent="0.2">
      <c r="B109" s="61" t="s">
        <v>164</v>
      </c>
      <c r="C109" s="99">
        <v>0.25</v>
      </c>
      <c r="D109" s="99">
        <v>0.25</v>
      </c>
      <c r="E109" s="100">
        <v>0.25</v>
      </c>
      <c r="F109" s="101">
        <v>0.25</v>
      </c>
    </row>
    <row r="110" spans="2:6" ht="16" customHeight="1" x14ac:dyDescent="0.2">
      <c r="B110" s="61" t="s">
        <v>165</v>
      </c>
      <c r="C110" s="99">
        <v>0.09</v>
      </c>
      <c r="D110" s="99">
        <v>0.09</v>
      </c>
      <c r="E110" s="100">
        <v>0.09</v>
      </c>
      <c r="F110" s="101">
        <v>0.09</v>
      </c>
    </row>
    <row r="111" spans="2:6" ht="16" customHeight="1" x14ac:dyDescent="0.2">
      <c r="B111" s="61" t="s">
        <v>166</v>
      </c>
      <c r="C111" s="99">
        <v>0.31</v>
      </c>
      <c r="D111" s="99">
        <v>0.31</v>
      </c>
      <c r="E111" s="100">
        <v>0.31</v>
      </c>
      <c r="F111" s="101">
        <v>0.31</v>
      </c>
    </row>
    <row r="112" spans="2:6" ht="16" customHeight="1" x14ac:dyDescent="0.2">
      <c r="B112" s="61" t="s">
        <v>167</v>
      </c>
      <c r="C112" s="99">
        <v>0.32</v>
      </c>
      <c r="D112" s="99">
        <v>0.32</v>
      </c>
      <c r="E112" s="100">
        <v>0.32</v>
      </c>
      <c r="F112" s="101">
        <v>0.32</v>
      </c>
    </row>
    <row r="113" spans="2:6" ht="16" customHeight="1" x14ac:dyDescent="0.2">
      <c r="B113" s="61" t="s">
        <v>168</v>
      </c>
      <c r="C113" s="99">
        <v>0.25</v>
      </c>
      <c r="D113" s="99">
        <v>0.25</v>
      </c>
      <c r="E113" s="100">
        <v>0.25</v>
      </c>
      <c r="F113" s="101">
        <v>0.25</v>
      </c>
    </row>
    <row r="114" spans="2:6" ht="16" customHeight="1" x14ac:dyDescent="0.2">
      <c r="B114" s="61" t="s">
        <v>169</v>
      </c>
      <c r="C114" s="99">
        <v>0.32</v>
      </c>
      <c r="D114" s="99">
        <v>0.32</v>
      </c>
      <c r="E114" s="100">
        <v>0.32</v>
      </c>
      <c r="F114" s="101">
        <v>0.32</v>
      </c>
    </row>
    <row r="115" spans="2:6" ht="16" customHeight="1" x14ac:dyDescent="0.2">
      <c r="B115" s="61" t="s">
        <v>170</v>
      </c>
      <c r="C115" s="99">
        <v>0.25</v>
      </c>
      <c r="D115" s="99">
        <v>0.25</v>
      </c>
      <c r="E115" s="100">
        <v>0.25</v>
      </c>
      <c r="F115" s="101">
        <v>0.25</v>
      </c>
    </row>
    <row r="116" spans="2:6" ht="16" customHeight="1" x14ac:dyDescent="0.2">
      <c r="B116" s="61" t="s">
        <v>171</v>
      </c>
      <c r="C116" s="99">
        <v>0.28000000000000003</v>
      </c>
      <c r="D116" s="99">
        <v>0.28000000000000003</v>
      </c>
      <c r="E116" s="100">
        <v>0.28000000000000003</v>
      </c>
      <c r="F116" s="101">
        <v>0.28000000000000003</v>
      </c>
    </row>
    <row r="117" spans="2:6" ht="16" customHeight="1" x14ac:dyDescent="0.2">
      <c r="B117" s="61" t="s">
        <v>172</v>
      </c>
      <c r="C117" s="99">
        <v>0.3</v>
      </c>
      <c r="D117" s="99">
        <v>0.3</v>
      </c>
      <c r="E117" s="100">
        <v>0.3</v>
      </c>
      <c r="F117" s="103">
        <v>0.3</v>
      </c>
    </row>
    <row r="118" spans="2:6" ht="16" customHeight="1" x14ac:dyDescent="0.2">
      <c r="B118" s="61" t="s">
        <v>173</v>
      </c>
      <c r="C118" s="99">
        <v>0.3</v>
      </c>
      <c r="D118" s="99">
        <v>0.3</v>
      </c>
      <c r="E118" s="100">
        <v>0.3</v>
      </c>
      <c r="F118" s="101">
        <v>0.3</v>
      </c>
    </row>
    <row r="119" spans="2:6" ht="16" customHeight="1" x14ac:dyDescent="0.2">
      <c r="B119" s="61" t="s">
        <v>174</v>
      </c>
      <c r="C119" s="99">
        <v>0.22</v>
      </c>
      <c r="D119" s="99">
        <v>0.22</v>
      </c>
      <c r="E119" s="100">
        <v>0.22</v>
      </c>
      <c r="F119" s="101">
        <v>0.23</v>
      </c>
    </row>
    <row r="120" spans="2:6" ht="16" customHeight="1" x14ac:dyDescent="0.2">
      <c r="B120" s="61" t="s">
        <v>175</v>
      </c>
      <c r="C120" s="99">
        <v>0.15</v>
      </c>
      <c r="D120" s="99">
        <v>0.15</v>
      </c>
      <c r="E120" s="100">
        <v>0.15</v>
      </c>
      <c r="F120" s="101">
        <v>0.15</v>
      </c>
    </row>
    <row r="121" spans="2:6" ht="16" customHeight="1" x14ac:dyDescent="0.2">
      <c r="B121" s="61" t="s">
        <v>176</v>
      </c>
      <c r="C121" s="99">
        <v>0.28999999999999998</v>
      </c>
      <c r="D121" s="99">
        <v>0.3</v>
      </c>
      <c r="E121" s="100">
        <v>0.3</v>
      </c>
      <c r="F121" s="101">
        <v>0.3</v>
      </c>
    </row>
    <row r="122" spans="2:6" ht="16" customHeight="1" x14ac:dyDescent="0.2">
      <c r="B122" s="61" t="s">
        <v>177</v>
      </c>
      <c r="C122" s="99">
        <v>0.15</v>
      </c>
      <c r="D122" s="99">
        <v>0.15</v>
      </c>
      <c r="E122" s="100">
        <v>0.15</v>
      </c>
      <c r="F122" s="101">
        <v>0.15</v>
      </c>
    </row>
    <row r="123" spans="2:6" ht="16" customHeight="1" x14ac:dyDescent="0.2">
      <c r="B123" s="61" t="s">
        <v>178</v>
      </c>
      <c r="C123" s="99">
        <v>0.25</v>
      </c>
      <c r="D123" s="99">
        <v>0.25</v>
      </c>
      <c r="E123" s="100">
        <v>0.25</v>
      </c>
      <c r="F123" s="101">
        <v>0.25</v>
      </c>
    </row>
    <row r="124" spans="2:6" ht="16" customHeight="1" x14ac:dyDescent="0.2">
      <c r="B124" s="61" t="s">
        <v>179</v>
      </c>
      <c r="C124" s="99">
        <v>0.3</v>
      </c>
      <c r="D124" s="99">
        <v>0.3</v>
      </c>
      <c r="E124" s="100">
        <v>0.3</v>
      </c>
      <c r="F124" s="101">
        <v>0.3</v>
      </c>
    </row>
    <row r="125" spans="2:6" ht="16" customHeight="1" x14ac:dyDescent="0.2">
      <c r="B125" s="61" t="s">
        <v>180</v>
      </c>
      <c r="C125" s="99">
        <v>0.1</v>
      </c>
      <c r="D125" s="99">
        <v>0.1</v>
      </c>
      <c r="E125" s="100">
        <v>0.1</v>
      </c>
      <c r="F125" s="101">
        <v>0.1</v>
      </c>
    </row>
    <row r="126" spans="2:6" ht="16" customHeight="1" x14ac:dyDescent="0.2">
      <c r="B126" s="61" t="s">
        <v>181</v>
      </c>
      <c r="C126" s="99">
        <v>0.29499999999999998</v>
      </c>
      <c r="D126" s="99">
        <v>0.29499999999999998</v>
      </c>
      <c r="E126" s="100">
        <v>0.29499999999999998</v>
      </c>
      <c r="F126" s="101">
        <v>0.29499999999999998</v>
      </c>
    </row>
    <row r="127" spans="2:6" ht="16" customHeight="1" x14ac:dyDescent="0.2">
      <c r="B127" s="61" t="s">
        <v>182</v>
      </c>
      <c r="C127" s="99">
        <v>0.3</v>
      </c>
      <c r="D127" s="99">
        <v>0.3</v>
      </c>
      <c r="E127" s="100">
        <v>0.3</v>
      </c>
      <c r="F127" s="101">
        <v>0.3</v>
      </c>
    </row>
    <row r="128" spans="2:6" ht="16" customHeight="1" x14ac:dyDescent="0.2">
      <c r="B128" s="61" t="s">
        <v>183</v>
      </c>
      <c r="C128" s="99">
        <v>0.19</v>
      </c>
      <c r="D128" s="99">
        <v>0.19</v>
      </c>
      <c r="E128" s="100">
        <v>0.19</v>
      </c>
      <c r="F128" s="101">
        <v>0.19</v>
      </c>
    </row>
    <row r="129" spans="2:6" ht="16" customHeight="1" x14ac:dyDescent="0.2">
      <c r="B129" s="61" t="s">
        <v>184</v>
      </c>
      <c r="C129" s="99">
        <v>0.21</v>
      </c>
      <c r="D129" s="99">
        <v>0.21</v>
      </c>
      <c r="E129" s="100">
        <v>0.21</v>
      </c>
      <c r="F129" s="101">
        <v>0.21</v>
      </c>
    </row>
    <row r="130" spans="2:6" ht="16" customHeight="1" x14ac:dyDescent="0.2">
      <c r="B130" s="61" t="s">
        <v>185</v>
      </c>
      <c r="C130" s="99">
        <v>0.1</v>
      </c>
      <c r="D130" s="99">
        <v>0.1</v>
      </c>
      <c r="E130" s="100">
        <v>0.1</v>
      </c>
      <c r="F130" s="101">
        <v>0.1</v>
      </c>
    </row>
    <row r="131" spans="2:6" ht="16" customHeight="1" x14ac:dyDescent="0.2">
      <c r="B131" s="61" t="s">
        <v>186</v>
      </c>
      <c r="C131" s="99">
        <v>0.16</v>
      </c>
      <c r="D131" s="99">
        <v>0.16</v>
      </c>
      <c r="E131" s="100">
        <v>0.16</v>
      </c>
      <c r="F131" s="101">
        <v>0.16</v>
      </c>
    </row>
    <row r="132" spans="2:6" ht="16" customHeight="1" x14ac:dyDescent="0.2">
      <c r="B132" s="61" t="s">
        <v>187</v>
      </c>
      <c r="C132" s="99">
        <v>0.2</v>
      </c>
      <c r="D132" s="99">
        <v>0.2</v>
      </c>
      <c r="E132" s="100">
        <v>0.2</v>
      </c>
      <c r="F132" s="101">
        <v>0.2</v>
      </c>
    </row>
    <row r="133" spans="2:6" ht="16" customHeight="1" x14ac:dyDescent="0.2">
      <c r="B133" s="61" t="s">
        <v>188</v>
      </c>
      <c r="C133" s="99">
        <v>0.3</v>
      </c>
      <c r="D133" s="99">
        <v>0.3</v>
      </c>
      <c r="E133" s="100">
        <v>0.3</v>
      </c>
      <c r="F133" s="101">
        <v>0.3</v>
      </c>
    </row>
    <row r="134" spans="2:6" ht="16" customHeight="1" x14ac:dyDescent="0.2">
      <c r="B134" s="61" t="s">
        <v>189</v>
      </c>
      <c r="C134" s="99">
        <v>0.33</v>
      </c>
      <c r="D134" s="99">
        <v>0.33</v>
      </c>
      <c r="E134" s="100">
        <v>0.33</v>
      </c>
      <c r="F134" s="101">
        <v>0.33</v>
      </c>
    </row>
    <row r="135" spans="2:6" ht="16" customHeight="1" x14ac:dyDescent="0.2">
      <c r="B135" s="61" t="s">
        <v>190</v>
      </c>
      <c r="C135" s="99">
        <v>0.3</v>
      </c>
      <c r="D135" s="99">
        <v>0.3</v>
      </c>
      <c r="E135" s="100">
        <v>0.3</v>
      </c>
      <c r="F135" s="101">
        <v>0.3</v>
      </c>
    </row>
    <row r="136" spans="2:6" ht="16" customHeight="1" x14ac:dyDescent="0.2">
      <c r="B136" s="61" t="s">
        <v>191</v>
      </c>
      <c r="C136" s="99">
        <v>0.3</v>
      </c>
      <c r="D136" s="99">
        <v>0.3</v>
      </c>
      <c r="E136" s="100">
        <v>0.3</v>
      </c>
      <c r="F136" s="101">
        <v>0.33</v>
      </c>
    </row>
    <row r="137" spans="2:6" ht="16" customHeight="1" x14ac:dyDescent="0.2">
      <c r="B137" s="61" t="s">
        <v>192</v>
      </c>
      <c r="C137" s="99">
        <v>0.27</v>
      </c>
      <c r="D137" s="99">
        <v>0.27</v>
      </c>
      <c r="E137" s="100">
        <v>0.27</v>
      </c>
      <c r="F137" s="101">
        <v>0.27</v>
      </c>
    </row>
    <row r="138" spans="2:6" ht="16" customHeight="1" x14ac:dyDescent="0.2">
      <c r="B138" s="61" t="s">
        <v>193</v>
      </c>
      <c r="C138" s="99">
        <v>0.2</v>
      </c>
      <c r="D138" s="99">
        <v>0.2</v>
      </c>
      <c r="E138" s="100">
        <v>0.2</v>
      </c>
      <c r="F138" s="101">
        <v>0.2</v>
      </c>
    </row>
    <row r="139" spans="2:6" ht="16" customHeight="1" x14ac:dyDescent="0.2">
      <c r="B139" s="61" t="s">
        <v>194</v>
      </c>
      <c r="C139" s="99">
        <v>0.3</v>
      </c>
      <c r="D139" s="99">
        <v>0.3</v>
      </c>
      <c r="E139" s="100">
        <v>0.3</v>
      </c>
      <c r="F139" s="101">
        <v>0.3</v>
      </c>
    </row>
    <row r="140" spans="2:6" ht="16" customHeight="1" x14ac:dyDescent="0.2">
      <c r="B140" s="61" t="s">
        <v>195</v>
      </c>
      <c r="C140" s="99">
        <v>0.15</v>
      </c>
      <c r="D140" s="99">
        <v>0.15</v>
      </c>
      <c r="E140" s="100">
        <v>0.15</v>
      </c>
      <c r="F140" s="101">
        <v>0.15</v>
      </c>
    </row>
    <row r="141" spans="2:6" ht="16" customHeight="1" x14ac:dyDescent="0.2">
      <c r="B141" s="61" t="s">
        <v>196</v>
      </c>
      <c r="C141" s="99">
        <v>0.3</v>
      </c>
      <c r="D141" s="99">
        <v>0.3</v>
      </c>
      <c r="E141" s="100">
        <v>0.3</v>
      </c>
      <c r="F141" s="101">
        <v>0.3</v>
      </c>
    </row>
    <row r="142" spans="2:6" ht="16" customHeight="1" x14ac:dyDescent="0.2">
      <c r="B142" s="61" t="s">
        <v>197</v>
      </c>
      <c r="C142" s="99">
        <v>0.17</v>
      </c>
      <c r="D142" s="99">
        <v>0.17</v>
      </c>
      <c r="E142" s="100">
        <v>0.17</v>
      </c>
      <c r="F142" s="101">
        <v>0.17</v>
      </c>
    </row>
    <row r="143" spans="2:6" ht="16" customHeight="1" x14ac:dyDescent="0.2">
      <c r="B143" s="61" t="s">
        <v>198</v>
      </c>
      <c r="C143" s="99">
        <v>0.35</v>
      </c>
      <c r="D143" s="99">
        <v>0.35</v>
      </c>
      <c r="E143" s="100">
        <v>0.35000000000000003</v>
      </c>
      <c r="F143" s="101">
        <v>0.35000000000000003</v>
      </c>
    </row>
    <row r="144" spans="2:6" ht="16" customHeight="1" x14ac:dyDescent="0.2">
      <c r="B144" s="61" t="s">
        <v>199</v>
      </c>
      <c r="C144" s="99">
        <v>0.21</v>
      </c>
      <c r="D144" s="99">
        <v>0.21</v>
      </c>
      <c r="E144" s="100">
        <v>0.21</v>
      </c>
      <c r="F144" s="101">
        <v>0.21</v>
      </c>
    </row>
    <row r="145" spans="2:6" ht="16" customHeight="1" x14ac:dyDescent="0.2">
      <c r="B145" s="61" t="s">
        <v>200</v>
      </c>
      <c r="C145" s="99">
        <v>0.19</v>
      </c>
      <c r="D145" s="99">
        <v>0.19</v>
      </c>
      <c r="E145" s="100">
        <v>0.19</v>
      </c>
      <c r="F145" s="101">
        <v>0.19</v>
      </c>
    </row>
    <row r="146" spans="2:6" ht="16" customHeight="1" x14ac:dyDescent="0.2">
      <c r="B146" s="61" t="s">
        <v>201</v>
      </c>
      <c r="C146" s="99">
        <v>0.3</v>
      </c>
      <c r="D146" s="99">
        <v>0.3</v>
      </c>
      <c r="E146" s="100">
        <v>0.3</v>
      </c>
      <c r="F146" s="101">
        <v>0.3</v>
      </c>
    </row>
    <row r="147" spans="2:6" ht="16" customHeight="1" x14ac:dyDescent="0.2">
      <c r="B147" s="61" t="s">
        <v>202</v>
      </c>
      <c r="C147" s="99">
        <v>0.28000000000000003</v>
      </c>
      <c r="D147" s="99">
        <v>0.28000000000000003</v>
      </c>
      <c r="E147" s="100">
        <v>0.28000000000000003</v>
      </c>
      <c r="F147" s="101">
        <v>0.28000000000000003</v>
      </c>
    </row>
    <row r="148" spans="2:6" ht="16" customHeight="1" x14ac:dyDescent="0.2">
      <c r="B148" s="62" t="s">
        <v>203</v>
      </c>
      <c r="C148" s="104">
        <v>0.25</v>
      </c>
      <c r="D148" s="104">
        <v>0.25</v>
      </c>
      <c r="E148" s="100">
        <v>0.25</v>
      </c>
      <c r="F148" s="101">
        <v>0.25</v>
      </c>
    </row>
    <row r="149" spans="2:6" ht="16" customHeight="1" x14ac:dyDescent="0.2">
      <c r="B149" s="61" t="s">
        <v>204</v>
      </c>
      <c r="C149" s="99">
        <v>0.25</v>
      </c>
      <c r="D149" s="99">
        <v>0.25</v>
      </c>
      <c r="E149" s="100">
        <v>0.25</v>
      </c>
      <c r="F149" s="101">
        <v>0.25</v>
      </c>
    </row>
    <row r="150" spans="2:6" ht="16" customHeight="1" x14ac:dyDescent="0.2">
      <c r="B150" s="61" t="s">
        <v>205</v>
      </c>
      <c r="C150" s="99">
        <v>0.24</v>
      </c>
      <c r="D150" s="99">
        <v>0.28000000000000003</v>
      </c>
      <c r="E150" s="100">
        <v>0.28000000000000003</v>
      </c>
      <c r="F150" s="101">
        <v>0.28000000000000003</v>
      </c>
    </row>
    <row r="151" spans="2:6" ht="16" customHeight="1" x14ac:dyDescent="0.2">
      <c r="B151" s="61" t="s">
        <v>206</v>
      </c>
      <c r="C151" s="99">
        <v>0.35</v>
      </c>
      <c r="D151" s="99">
        <v>0.35</v>
      </c>
      <c r="E151" s="100">
        <v>0.35000000000000003</v>
      </c>
      <c r="F151" s="101">
        <v>0.35000000000000003</v>
      </c>
    </row>
    <row r="152" spans="2:6" ht="16" customHeight="1" x14ac:dyDescent="0.2">
      <c r="B152" s="61" t="s">
        <v>207</v>
      </c>
      <c r="C152" s="99">
        <v>0.35</v>
      </c>
      <c r="D152" s="99">
        <v>0.35</v>
      </c>
      <c r="E152" s="100">
        <v>0.35000000000000003</v>
      </c>
      <c r="F152" s="101">
        <v>0.35000000000000003</v>
      </c>
    </row>
    <row r="153" spans="2:6" ht="16" customHeight="1" x14ac:dyDescent="0.2">
      <c r="B153" s="61" t="s">
        <v>208</v>
      </c>
      <c r="C153" s="99">
        <v>0.36</v>
      </c>
      <c r="D153" s="99">
        <v>0.36</v>
      </c>
      <c r="E153" s="100">
        <v>0.36</v>
      </c>
      <c r="F153" s="101">
        <v>0.36</v>
      </c>
    </row>
    <row r="154" spans="2:6" ht="16" customHeight="1" x14ac:dyDescent="0.2">
      <c r="B154" s="61" t="s">
        <v>209</v>
      </c>
      <c r="C154" s="99">
        <v>0.27500000000000002</v>
      </c>
      <c r="D154" s="99">
        <v>0.27500000000000002</v>
      </c>
      <c r="E154" s="100">
        <v>0.27500000000000002</v>
      </c>
      <c r="F154" s="101">
        <v>0.28000000000000003</v>
      </c>
    </row>
    <row r="155" spans="2:6" ht="16" customHeight="1" x14ac:dyDescent="0.2">
      <c r="B155" s="61" t="s">
        <v>210</v>
      </c>
      <c r="C155" s="99">
        <v>0.20599999999999999</v>
      </c>
      <c r="D155" s="99">
        <v>0.214</v>
      </c>
      <c r="E155" s="100">
        <v>0.214</v>
      </c>
      <c r="F155" s="101">
        <v>0.22</v>
      </c>
    </row>
    <row r="156" spans="2:6" ht="16" customHeight="1" x14ac:dyDescent="0.2">
      <c r="B156" s="61" t="s">
        <v>211</v>
      </c>
      <c r="C156" s="99">
        <v>0.14929999999999999</v>
      </c>
      <c r="D156" s="99">
        <v>0.1484</v>
      </c>
      <c r="E156" s="100">
        <v>0.18</v>
      </c>
      <c r="F156" s="101">
        <v>0.18</v>
      </c>
    </row>
    <row r="157" spans="2:6" ht="16" customHeight="1" x14ac:dyDescent="0.2">
      <c r="B157" s="61" t="s">
        <v>212</v>
      </c>
      <c r="C157" s="99">
        <v>0.28000000000000003</v>
      </c>
      <c r="D157" s="99">
        <v>0.28000000000000003</v>
      </c>
      <c r="E157" s="100">
        <v>0.28000000000000003</v>
      </c>
      <c r="F157" s="101">
        <v>0.28000000000000003</v>
      </c>
    </row>
    <row r="158" spans="2:6" ht="16" customHeight="1" x14ac:dyDescent="0.2">
      <c r="B158" s="61" t="s">
        <v>213</v>
      </c>
      <c r="C158" s="99">
        <v>0.2</v>
      </c>
      <c r="D158" s="99">
        <v>0.2</v>
      </c>
      <c r="E158" s="100">
        <v>0.2</v>
      </c>
      <c r="F158" s="101">
        <v>0.2</v>
      </c>
    </row>
    <row r="159" spans="2:6" ht="16" customHeight="1" x14ac:dyDescent="0.2">
      <c r="B159" s="61" t="s">
        <v>214</v>
      </c>
      <c r="C159" s="99">
        <v>0.3</v>
      </c>
      <c r="D159" s="99">
        <v>0.3</v>
      </c>
      <c r="E159" s="100">
        <v>0.3</v>
      </c>
      <c r="F159" s="101">
        <v>0.3</v>
      </c>
    </row>
    <row r="160" spans="2:6" ht="16" customHeight="1" x14ac:dyDescent="0.2">
      <c r="B160" s="61" t="s">
        <v>215</v>
      </c>
      <c r="C160" s="99">
        <v>0.2</v>
      </c>
      <c r="D160" s="99">
        <v>0.2</v>
      </c>
      <c r="E160" s="100">
        <v>0.2</v>
      </c>
      <c r="F160" s="101">
        <v>0.2</v>
      </c>
    </row>
    <row r="161" spans="2:6" ht="16" customHeight="1" x14ac:dyDescent="0.2">
      <c r="B161" s="61" t="s">
        <v>216</v>
      </c>
      <c r="C161" s="99">
        <v>0.3</v>
      </c>
      <c r="D161" s="99">
        <v>0.3</v>
      </c>
      <c r="E161" s="100">
        <v>0.25</v>
      </c>
      <c r="F161" s="101">
        <v>0.25</v>
      </c>
    </row>
    <row r="162" spans="2:6" ht="16" customHeight="1" x14ac:dyDescent="0.2">
      <c r="B162" s="61" t="s">
        <v>217</v>
      </c>
      <c r="C162" s="99">
        <v>0.15</v>
      </c>
      <c r="D162" s="99">
        <v>0.25</v>
      </c>
      <c r="E162" s="100">
        <v>0.25</v>
      </c>
      <c r="F162" s="101">
        <v>0.25</v>
      </c>
    </row>
    <row r="163" spans="2:6" ht="16" customHeight="1" x14ac:dyDescent="0.2">
      <c r="B163" s="61" t="s">
        <v>218</v>
      </c>
      <c r="C163" s="99">
        <v>0.2</v>
      </c>
      <c r="D163" s="99">
        <v>0.22</v>
      </c>
      <c r="E163" s="100">
        <v>0.22</v>
      </c>
      <c r="F163" s="101">
        <v>0.22</v>
      </c>
    </row>
    <row r="164" spans="2:6" ht="16" customHeight="1" x14ac:dyDescent="0.2">
      <c r="B164" s="61" t="s">
        <v>219</v>
      </c>
      <c r="C164" s="99">
        <v>0.2</v>
      </c>
      <c r="D164" s="99">
        <v>0.2</v>
      </c>
      <c r="E164" s="100">
        <v>0.2</v>
      </c>
      <c r="F164" s="101">
        <v>0.2</v>
      </c>
    </row>
    <row r="165" spans="2:6" ht="16" customHeight="1" x14ac:dyDescent="0.2">
      <c r="B165" s="61" t="s">
        <v>220</v>
      </c>
      <c r="C165" s="99">
        <v>0</v>
      </c>
      <c r="D165" s="99">
        <v>0</v>
      </c>
      <c r="E165" s="100">
        <v>0</v>
      </c>
      <c r="F165" s="101">
        <v>0</v>
      </c>
    </row>
    <row r="166" spans="2:6" ht="16" customHeight="1" x14ac:dyDescent="0.2">
      <c r="B166" s="61" t="s">
        <v>221</v>
      </c>
      <c r="C166" s="99">
        <v>0.3</v>
      </c>
      <c r="D166" s="99">
        <v>0.3</v>
      </c>
      <c r="E166" s="100">
        <v>0.3</v>
      </c>
      <c r="F166" s="101">
        <v>0.3</v>
      </c>
    </row>
    <row r="167" spans="2:6" ht="16" customHeight="1" x14ac:dyDescent="0.2">
      <c r="B167" s="61" t="s">
        <v>222</v>
      </c>
      <c r="C167" s="99">
        <v>0.18</v>
      </c>
      <c r="D167" s="99">
        <v>0.18</v>
      </c>
      <c r="E167" s="100">
        <v>0.18</v>
      </c>
      <c r="F167" s="101">
        <v>0.18</v>
      </c>
    </row>
    <row r="168" spans="2:6" ht="16" customHeight="1" x14ac:dyDescent="0.2">
      <c r="B168" s="63" t="s">
        <v>223</v>
      </c>
      <c r="C168" s="99">
        <v>0.55000000000000004</v>
      </c>
      <c r="D168" s="99">
        <v>0</v>
      </c>
      <c r="E168" s="99">
        <v>0</v>
      </c>
      <c r="F168" s="99">
        <v>0</v>
      </c>
    </row>
    <row r="169" spans="2:6" ht="16" customHeight="1" x14ac:dyDescent="0.2">
      <c r="B169" s="61" t="s">
        <v>224</v>
      </c>
      <c r="C169" s="100">
        <v>0.19</v>
      </c>
      <c r="D169" s="100">
        <v>0.19</v>
      </c>
      <c r="E169" s="100">
        <v>0.19</v>
      </c>
      <c r="F169" s="101">
        <v>0.19</v>
      </c>
    </row>
    <row r="170" spans="2:6" ht="16" customHeight="1" x14ac:dyDescent="0.2">
      <c r="B170" s="61" t="s">
        <v>225</v>
      </c>
      <c r="C170" s="99">
        <v>0.27</v>
      </c>
      <c r="D170" s="99">
        <v>0.27</v>
      </c>
      <c r="E170" s="100">
        <v>0.27</v>
      </c>
      <c r="F170" s="101">
        <v>0.27</v>
      </c>
    </row>
    <row r="171" spans="2:6" ht="16" customHeight="1" x14ac:dyDescent="0.2">
      <c r="B171" s="61" t="s">
        <v>226</v>
      </c>
      <c r="C171" s="99">
        <v>0.25</v>
      </c>
      <c r="D171" s="99">
        <v>0.25</v>
      </c>
      <c r="E171" s="100">
        <v>0.25</v>
      </c>
      <c r="F171" s="101">
        <v>0.25</v>
      </c>
    </row>
    <row r="172" spans="2:6" ht="16" customHeight="1" x14ac:dyDescent="0.2">
      <c r="B172" s="61" t="s">
        <v>227</v>
      </c>
      <c r="C172" s="99">
        <v>7.4999999999999997E-2</v>
      </c>
      <c r="D172" s="99">
        <v>7.4999999999999997E-2</v>
      </c>
      <c r="E172" s="100">
        <v>7.4999999999999997E-2</v>
      </c>
      <c r="F172" s="101">
        <v>7.4999999999999997E-2</v>
      </c>
    </row>
    <row r="173" spans="2:6" ht="16" customHeight="1" x14ac:dyDescent="0.2">
      <c r="B173" s="61" t="s">
        <v>228</v>
      </c>
      <c r="C173" s="99">
        <v>0</v>
      </c>
      <c r="D173" s="99">
        <v>0</v>
      </c>
      <c r="E173" s="100">
        <v>0</v>
      </c>
      <c r="F173" s="101">
        <v>0</v>
      </c>
    </row>
    <row r="174" spans="2:6" ht="16" customHeight="1" x14ac:dyDescent="0.2">
      <c r="B174" s="61" t="s">
        <v>229</v>
      </c>
      <c r="C174" s="99">
        <v>0.34</v>
      </c>
      <c r="D174" s="99">
        <v>0.34</v>
      </c>
      <c r="E174" s="100">
        <v>0.34</v>
      </c>
      <c r="F174" s="101">
        <v>0.34</v>
      </c>
    </row>
    <row r="175" spans="2:6" ht="16" customHeight="1" x14ac:dyDescent="0.2">
      <c r="B175" s="61" t="s">
        <v>230</v>
      </c>
      <c r="C175" s="99">
        <v>0.2</v>
      </c>
      <c r="D175" s="99">
        <v>0.2</v>
      </c>
      <c r="E175" s="100">
        <v>0.2</v>
      </c>
      <c r="F175" s="101">
        <v>0.2</v>
      </c>
    </row>
    <row r="176" spans="2:6" ht="16" customHeight="1" x14ac:dyDescent="0.2">
      <c r="B176" s="61" t="s">
        <v>231</v>
      </c>
      <c r="C176" s="99">
        <v>0.2</v>
      </c>
      <c r="D176" s="99">
        <v>0.2</v>
      </c>
      <c r="E176" s="100">
        <v>0.2</v>
      </c>
      <c r="F176" s="101">
        <v>0.2</v>
      </c>
    </row>
    <row r="177" spans="2:6" ht="16" customHeight="1" x14ac:dyDescent="0.2">
      <c r="B177" s="61" t="s">
        <v>232</v>
      </c>
      <c r="C177" s="99">
        <v>0.35</v>
      </c>
      <c r="D177" s="99">
        <v>0.35</v>
      </c>
      <c r="E177" s="100">
        <v>0.35000000000000003</v>
      </c>
      <c r="F177" s="101">
        <v>0.35000000000000003</v>
      </c>
    </row>
    <row r="178" spans="2:6" ht="16" customHeight="1" x14ac:dyDescent="0.2">
      <c r="B178" s="61" t="s">
        <v>233</v>
      </c>
      <c r="C178" s="99">
        <v>0.24</v>
      </c>
      <c r="D178" s="99">
        <v>0.24</v>
      </c>
      <c r="E178" s="100">
        <v>0.25</v>
      </c>
      <c r="F178" s="101">
        <v>0.25</v>
      </c>
    </row>
    <row r="179" spans="2:6" ht="16" customHeight="1" x14ac:dyDescent="0.2">
      <c r="B179" s="64" t="s">
        <v>234</v>
      </c>
      <c r="C179" s="105">
        <v>0.27460000000000001</v>
      </c>
      <c r="D179" s="105">
        <v>0.28249999999999997</v>
      </c>
      <c r="E179" s="105">
        <v>0.28239999999999998</v>
      </c>
      <c r="F179" s="105">
        <v>0.28260000000000002</v>
      </c>
    </row>
    <row r="180" spans="2:6" ht="16" customHeight="1" x14ac:dyDescent="0.2">
      <c r="B180" s="64" t="s">
        <v>235</v>
      </c>
      <c r="C180" s="105">
        <v>0.27189999999999998</v>
      </c>
      <c r="D180" s="105">
        <v>0.27329999999999999</v>
      </c>
      <c r="E180" s="105">
        <v>0.27210000000000001</v>
      </c>
      <c r="F180" s="105">
        <v>0.2797</v>
      </c>
    </row>
    <row r="181" spans="2:6" ht="16" customHeight="1" x14ac:dyDescent="0.2">
      <c r="B181" s="64" t="s">
        <v>236</v>
      </c>
      <c r="C181" s="105">
        <v>0.21429999999999999</v>
      </c>
      <c r="D181" s="105">
        <v>0.2104</v>
      </c>
      <c r="E181" s="105">
        <v>0.2109</v>
      </c>
      <c r="F181" s="105">
        <v>0.21210000000000001</v>
      </c>
    </row>
    <row r="182" spans="2:6" ht="16" customHeight="1" x14ac:dyDescent="0.2">
      <c r="B182" s="64" t="s">
        <v>237</v>
      </c>
      <c r="C182" s="105">
        <v>0.20710000000000001</v>
      </c>
      <c r="D182" s="105">
        <v>0.21010000000000001</v>
      </c>
      <c r="E182" s="105">
        <v>0.21160000000000001</v>
      </c>
      <c r="F182" s="105">
        <v>0.21290000000000001</v>
      </c>
    </row>
    <row r="183" spans="2:6" ht="16" customHeight="1" x14ac:dyDescent="0.2">
      <c r="B183" s="64" t="s">
        <v>238</v>
      </c>
      <c r="C183" s="105">
        <v>0.18890000000000001</v>
      </c>
      <c r="D183" s="105">
        <v>0.19210000000000002</v>
      </c>
      <c r="E183" s="105">
        <v>0.19370000000000001</v>
      </c>
      <c r="F183" s="105">
        <v>0.1948</v>
      </c>
    </row>
    <row r="184" spans="2:6" ht="16" customHeight="1" x14ac:dyDescent="0.2">
      <c r="B184" s="64" t="s">
        <v>239</v>
      </c>
      <c r="C184" s="105">
        <v>0.23649999999999999</v>
      </c>
      <c r="D184" s="105">
        <v>0.2379</v>
      </c>
      <c r="E184" s="105">
        <v>0.2379</v>
      </c>
      <c r="F184" s="105">
        <v>0.2402</v>
      </c>
    </row>
    <row r="185" spans="2:6" ht="16" customHeight="1" x14ac:dyDescent="0.2">
      <c r="B185" s="64" t="s">
        <v>240</v>
      </c>
      <c r="C185" s="105">
        <v>0.27210000000000001</v>
      </c>
      <c r="D185" s="105">
        <v>0.27360000000000001</v>
      </c>
      <c r="E185" s="105">
        <v>0.27239999999999998</v>
      </c>
      <c r="F185" s="105">
        <v>0.28050000000000003</v>
      </c>
    </row>
    <row r="186" spans="2:6" ht="16" customHeight="1" x14ac:dyDescent="0.2">
      <c r="B186" s="64" t="s">
        <v>241</v>
      </c>
      <c r="C186" s="105">
        <v>0.26750000000000002</v>
      </c>
      <c r="D186" s="105">
        <v>0.26750000000000002</v>
      </c>
      <c r="E186" s="105">
        <v>0.26750000000000002</v>
      </c>
      <c r="F186" s="105">
        <v>0.26750000000000002</v>
      </c>
    </row>
    <row r="187" spans="2:6" ht="16" customHeight="1" x14ac:dyDescent="0.2">
      <c r="B187" s="64" t="s">
        <v>242</v>
      </c>
      <c r="C187" s="105">
        <v>0.2843</v>
      </c>
      <c r="D187" s="105">
        <v>0.2843</v>
      </c>
      <c r="E187" s="105">
        <v>0.2843</v>
      </c>
      <c r="F187" s="105">
        <v>0.2843</v>
      </c>
    </row>
    <row r="188" spans="2:6" ht="16" customHeight="1" x14ac:dyDescent="0.2">
      <c r="B188" s="64" t="s">
        <v>243</v>
      </c>
      <c r="C188" s="105">
        <v>0.2281</v>
      </c>
      <c r="D188" s="105">
        <v>0.23170000000000002</v>
      </c>
      <c r="E188" s="105">
        <v>0.23380000000000001</v>
      </c>
      <c r="F188" s="105">
        <v>0.23530000000000001</v>
      </c>
    </row>
    <row r="189" spans="2:6" ht="16" customHeight="1" thickBot="1" x14ac:dyDescent="0.25">
      <c r="B189" s="65" t="s">
        <v>244</v>
      </c>
      <c r="C189" s="106">
        <v>0.27210000000000001</v>
      </c>
      <c r="D189" s="106">
        <v>0.27360000000000001</v>
      </c>
      <c r="E189" s="106">
        <v>0.27239999999999998</v>
      </c>
      <c r="F189" s="106">
        <v>0.28050000000000003</v>
      </c>
    </row>
    <row r="190" spans="2:6" ht="16" customHeight="1" x14ac:dyDescent="0.2">
      <c r="B190" s="69" t="s">
        <v>245</v>
      </c>
      <c r="C190" s="70" t="s">
        <v>246</v>
      </c>
    </row>
  </sheetData>
  <hyperlinks>
    <hyperlink ref="C190" r:id="rId1" xr:uid="{00000000-0004-0000-0500-000000000000}"/>
    <hyperlink ref="A1" location="Index!A1" display="Index" xr:uid="{E10879D1-4F3B-DD4F-8D44-2395B6F45F79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E211"/>
  <sheetViews>
    <sheetView showGridLines="0" zoomScale="90" zoomScaleNormal="90" zoomScalePageLayoutView="90" workbookViewId="0"/>
  </sheetViews>
  <sheetFormatPr baseColWidth="10" defaultRowHeight="16" customHeight="1" x14ac:dyDescent="0.2"/>
  <cols>
    <col min="1" max="1" width="3.6640625" style="40" customWidth="1"/>
    <col min="2" max="2" width="27.5" style="40" bestFit="1" customWidth="1"/>
    <col min="3" max="3" width="20.33203125" style="40" customWidth="1"/>
    <col min="4" max="16384" width="10.83203125" style="40"/>
  </cols>
  <sheetData>
    <row r="1" spans="1:3" s="169" customFormat="1" ht="11" x14ac:dyDescent="0.15">
      <c r="A1" s="198" t="s">
        <v>333</v>
      </c>
    </row>
    <row r="2" spans="1:3" s="169" customFormat="1" ht="11" x14ac:dyDescent="0.15">
      <c r="A2" s="169" t="str">
        <f>Cover!$B$7</f>
        <v>Discount rate estimation</v>
      </c>
    </row>
    <row r="3" spans="1:3" s="193" customFormat="1" x14ac:dyDescent="0.2">
      <c r="A3" s="194" t="str">
        <f ca="1">MID(CELL("filename",A1),FIND("]",CELL("filename",A1))+1,255)</f>
        <v>ERP</v>
      </c>
    </row>
    <row r="5" spans="1:3" ht="16" customHeight="1" x14ac:dyDescent="0.2">
      <c r="B5" s="41" t="s">
        <v>332</v>
      </c>
      <c r="C5" s="42"/>
    </row>
    <row r="6" spans="1:3" ht="16" customHeight="1" x14ac:dyDescent="0.2">
      <c r="B6" s="66" t="s">
        <v>10</v>
      </c>
      <c r="C6" s="67">
        <v>2020</v>
      </c>
    </row>
    <row r="7" spans="1:3" ht="16" customHeight="1" x14ac:dyDescent="0.2">
      <c r="B7" s="43" t="s">
        <v>256</v>
      </c>
      <c r="C7" s="54">
        <v>5.2005502866361637E-2</v>
      </c>
    </row>
    <row r="8" spans="1:3" ht="16" customHeight="1" x14ac:dyDescent="0.2">
      <c r="B8" s="43" t="s">
        <v>64</v>
      </c>
      <c r="C8" s="54">
        <v>9.0799016914808295E-2</v>
      </c>
    </row>
    <row r="9" spans="1:3" ht="16" customHeight="1" x14ac:dyDescent="0.2">
      <c r="B9" s="43" t="s">
        <v>257</v>
      </c>
      <c r="C9" s="54">
        <v>0.1198067796717549</v>
      </c>
    </row>
    <row r="10" spans="1:3" ht="16" customHeight="1" x14ac:dyDescent="0.2">
      <c r="B10" s="43" t="s">
        <v>67</v>
      </c>
      <c r="C10" s="54">
        <v>0.1198067796717549</v>
      </c>
    </row>
    <row r="11" spans="1:3" ht="16" customHeight="1" x14ac:dyDescent="0.2">
      <c r="B11" s="43" t="s">
        <v>70</v>
      </c>
      <c r="C11" s="54">
        <v>0.16340579658656318</v>
      </c>
    </row>
    <row r="12" spans="1:3" ht="16" customHeight="1" x14ac:dyDescent="0.2">
      <c r="B12" s="43" t="s">
        <v>71</v>
      </c>
      <c r="C12" s="54">
        <v>8.2061738975968967E-2</v>
      </c>
    </row>
    <row r="13" spans="1:3" ht="16" customHeight="1" x14ac:dyDescent="0.2">
      <c r="B13" s="43" t="s">
        <v>72</v>
      </c>
      <c r="C13" s="54">
        <v>6.2664981951745621E-2</v>
      </c>
    </row>
    <row r="14" spans="1:3" ht="16" customHeight="1" x14ac:dyDescent="0.2">
      <c r="B14" s="43" t="s">
        <v>73</v>
      </c>
      <c r="C14" s="54">
        <v>4.7199999999999999E-2</v>
      </c>
    </row>
    <row r="15" spans="1:3" ht="16" customHeight="1" x14ac:dyDescent="0.2">
      <c r="B15" s="43" t="s">
        <v>74</v>
      </c>
      <c r="C15" s="54">
        <v>5.1044402293089305E-2</v>
      </c>
    </row>
    <row r="16" spans="1:3" ht="16" customHeight="1" x14ac:dyDescent="0.2">
      <c r="B16" s="43" t="s">
        <v>75</v>
      </c>
      <c r="C16" s="54">
        <v>7.629513553633499E-2</v>
      </c>
    </row>
    <row r="17" spans="2:3" ht="16" customHeight="1" x14ac:dyDescent="0.2">
      <c r="B17" s="43" t="s">
        <v>76</v>
      </c>
      <c r="C17" s="54">
        <v>7.629513553633499E-2</v>
      </c>
    </row>
    <row r="18" spans="2:3" ht="16" customHeight="1" x14ac:dyDescent="0.2">
      <c r="B18" s="43" t="s">
        <v>77</v>
      </c>
      <c r="C18" s="54">
        <v>0.10049739542691996</v>
      </c>
    </row>
    <row r="19" spans="2:3" ht="16" customHeight="1" x14ac:dyDescent="0.2">
      <c r="B19" s="43" t="s">
        <v>78</v>
      </c>
      <c r="C19" s="54">
        <v>8.2061738975968967E-2</v>
      </c>
    </row>
    <row r="20" spans="2:3" ht="16" customHeight="1" x14ac:dyDescent="0.2">
      <c r="B20" s="43" t="s">
        <v>79</v>
      </c>
      <c r="C20" s="54">
        <v>0.1198067796717549</v>
      </c>
    </row>
    <row r="21" spans="2:3" ht="16" customHeight="1" x14ac:dyDescent="0.2">
      <c r="B21" s="43" t="s">
        <v>80</v>
      </c>
      <c r="C21" s="54">
        <v>0.1101957739390316</v>
      </c>
    </row>
    <row r="22" spans="2:3" ht="16" customHeight="1" x14ac:dyDescent="0.2">
      <c r="B22" s="43" t="s">
        <v>81</v>
      </c>
      <c r="C22" s="54">
        <v>5.3053976219022358E-2</v>
      </c>
    </row>
    <row r="23" spans="2:3" ht="16" customHeight="1" x14ac:dyDescent="0.2">
      <c r="B23" s="43" t="s">
        <v>258</v>
      </c>
      <c r="C23" s="54">
        <v>0.14400903956233987</v>
      </c>
    </row>
    <row r="24" spans="2:3" ht="16" customHeight="1" x14ac:dyDescent="0.2">
      <c r="B24" s="43" t="s">
        <v>82</v>
      </c>
      <c r="C24" s="54">
        <v>0.10049739542691996</v>
      </c>
    </row>
    <row r="25" spans="2:3" ht="16" customHeight="1" x14ac:dyDescent="0.2">
      <c r="B25" s="43" t="s">
        <v>83</v>
      </c>
      <c r="C25" s="54">
        <v>5.5413041262508976E-2</v>
      </c>
    </row>
    <row r="26" spans="2:3" ht="16" customHeight="1" x14ac:dyDescent="0.2">
      <c r="B26" s="43" t="s">
        <v>84</v>
      </c>
      <c r="C26" s="54">
        <v>0.10049739542691996</v>
      </c>
    </row>
    <row r="27" spans="2:3" ht="16" customHeight="1" x14ac:dyDescent="0.2">
      <c r="B27" s="43" t="s">
        <v>86</v>
      </c>
      <c r="C27" s="54">
        <v>0.1101957739390316</v>
      </c>
    </row>
    <row r="28" spans="2:3" ht="16" customHeight="1" x14ac:dyDescent="0.2">
      <c r="B28" s="43" t="s">
        <v>87</v>
      </c>
      <c r="C28" s="54">
        <v>5.5413041262508976E-2</v>
      </c>
    </row>
    <row r="29" spans="2:3" ht="16" customHeight="1" x14ac:dyDescent="0.2">
      <c r="B29" s="43" t="s">
        <v>88</v>
      </c>
      <c r="C29" s="54">
        <v>7.629513553633499E-2</v>
      </c>
    </row>
    <row r="30" spans="2:3" ht="16" customHeight="1" x14ac:dyDescent="0.2">
      <c r="B30" s="43" t="s">
        <v>90</v>
      </c>
      <c r="C30" s="54">
        <v>6.2664981951745621E-2</v>
      </c>
    </row>
    <row r="31" spans="2:3" ht="16" customHeight="1" x14ac:dyDescent="0.2">
      <c r="B31" s="43" t="s">
        <v>91</v>
      </c>
      <c r="C31" s="54">
        <v>0.10049739542691996</v>
      </c>
    </row>
    <row r="32" spans="2:3" ht="16" customHeight="1" x14ac:dyDescent="0.2">
      <c r="B32" s="43" t="s">
        <v>93</v>
      </c>
      <c r="C32" s="54">
        <v>0.10049739542691996</v>
      </c>
    </row>
    <row r="33" spans="2:3" ht="16" customHeight="1" x14ac:dyDescent="0.2">
      <c r="B33" s="43" t="s">
        <v>94</v>
      </c>
      <c r="C33" s="54">
        <v>0.10049739542691996</v>
      </c>
    </row>
    <row r="34" spans="2:3" ht="16" customHeight="1" x14ac:dyDescent="0.2">
      <c r="B34" s="43" t="s">
        <v>95</v>
      </c>
      <c r="C34" s="54">
        <v>4.7199999999999999E-2</v>
      </c>
    </row>
    <row r="35" spans="2:3" ht="16" customHeight="1" x14ac:dyDescent="0.2">
      <c r="B35" s="43" t="s">
        <v>259</v>
      </c>
      <c r="C35" s="54">
        <v>0.10049739542691996</v>
      </c>
    </row>
    <row r="36" spans="2:3" ht="16" customHeight="1" x14ac:dyDescent="0.2">
      <c r="B36" s="43" t="s">
        <v>96</v>
      </c>
      <c r="C36" s="54">
        <v>5.3053976219022358E-2</v>
      </c>
    </row>
    <row r="37" spans="2:3" ht="16" customHeight="1" x14ac:dyDescent="0.2">
      <c r="B37" s="43" t="s">
        <v>97</v>
      </c>
      <c r="C37" s="54">
        <v>5.4015076792294683E-2</v>
      </c>
    </row>
    <row r="38" spans="2:3" ht="16" customHeight="1" x14ac:dyDescent="0.2">
      <c r="B38" s="43" t="s">
        <v>98</v>
      </c>
      <c r="C38" s="54">
        <v>5.4015076792294683E-2</v>
      </c>
    </row>
    <row r="39" spans="2:3" ht="16" customHeight="1" x14ac:dyDescent="0.2">
      <c r="B39" s="43" t="s">
        <v>99</v>
      </c>
      <c r="C39" s="54">
        <v>6.5635656450950999E-2</v>
      </c>
    </row>
    <row r="40" spans="2:3" ht="16" customHeight="1" x14ac:dyDescent="0.2">
      <c r="B40" s="43" t="s">
        <v>260</v>
      </c>
      <c r="C40" s="54">
        <v>0.1198067796717549</v>
      </c>
    </row>
    <row r="41" spans="2:3" ht="16" customHeight="1" x14ac:dyDescent="0.2">
      <c r="B41" s="43" t="s">
        <v>261</v>
      </c>
      <c r="C41" s="54">
        <v>0.1343980338296166</v>
      </c>
    </row>
    <row r="42" spans="2:3" ht="16" customHeight="1" x14ac:dyDescent="0.2">
      <c r="B42" s="43" t="s">
        <v>262</v>
      </c>
      <c r="C42" s="54">
        <v>9.0799016914808295E-2</v>
      </c>
    </row>
    <row r="43" spans="2:3" ht="16" customHeight="1" x14ac:dyDescent="0.2">
      <c r="B43" s="43" t="s">
        <v>101</v>
      </c>
      <c r="C43" s="54">
        <v>0.10049739542691996</v>
      </c>
    </row>
    <row r="44" spans="2:3" ht="16" customHeight="1" x14ac:dyDescent="0.2">
      <c r="B44" s="43" t="s">
        <v>263</v>
      </c>
      <c r="C44" s="54">
        <v>8.2061738975968967E-2</v>
      </c>
    </row>
    <row r="45" spans="2:3" ht="16" customHeight="1" x14ac:dyDescent="0.2">
      <c r="B45" s="43" t="s">
        <v>102</v>
      </c>
      <c r="C45" s="54">
        <v>7.1402259890584963E-2</v>
      </c>
    </row>
    <row r="46" spans="2:3" ht="16" customHeight="1" x14ac:dyDescent="0.2">
      <c r="B46" s="43" t="s">
        <v>264</v>
      </c>
      <c r="C46" s="54">
        <v>0.1343980338296166</v>
      </c>
    </row>
    <row r="47" spans="2:3" ht="16" customHeight="1" x14ac:dyDescent="0.2">
      <c r="B47" s="43" t="s">
        <v>103</v>
      </c>
      <c r="C47" s="54">
        <v>5.8820579658656322E-2</v>
      </c>
    </row>
    <row r="48" spans="2:3" ht="16" customHeight="1" x14ac:dyDescent="0.2">
      <c r="B48" s="43" t="s">
        <v>104</v>
      </c>
      <c r="C48" s="54">
        <v>7.629513553633499E-2</v>
      </c>
    </row>
    <row r="49" spans="2:3" ht="16" customHeight="1" x14ac:dyDescent="0.2">
      <c r="B49" s="43" t="s">
        <v>105</v>
      </c>
      <c r="C49" s="54">
        <v>5.3053976219022358E-2</v>
      </c>
    </row>
    <row r="50" spans="2:3" ht="16" customHeight="1" x14ac:dyDescent="0.2">
      <c r="B50" s="43" t="s">
        <v>106</v>
      </c>
      <c r="C50" s="54">
        <v>4.7199999999999999E-2</v>
      </c>
    </row>
    <row r="51" spans="2:3" ht="16" customHeight="1" x14ac:dyDescent="0.2">
      <c r="B51" s="43" t="s">
        <v>109</v>
      </c>
      <c r="C51" s="54">
        <v>8.2061738975968967E-2</v>
      </c>
    </row>
    <row r="52" spans="2:3" ht="16" customHeight="1" x14ac:dyDescent="0.2">
      <c r="B52" s="43" t="s">
        <v>110</v>
      </c>
      <c r="C52" s="54">
        <v>0.14400903956233987</v>
      </c>
    </row>
    <row r="53" spans="2:3" ht="16" customHeight="1" x14ac:dyDescent="0.2">
      <c r="B53" s="43" t="s">
        <v>111</v>
      </c>
      <c r="C53" s="54">
        <v>0.10049739542691996</v>
      </c>
    </row>
    <row r="54" spans="2:3" ht="16" customHeight="1" x14ac:dyDescent="0.2">
      <c r="B54" s="43" t="s">
        <v>112</v>
      </c>
      <c r="C54" s="54">
        <v>0.1101957739390316</v>
      </c>
    </row>
    <row r="55" spans="2:3" ht="16" customHeight="1" x14ac:dyDescent="0.2">
      <c r="B55" s="43" t="s">
        <v>113</v>
      </c>
      <c r="C55" s="54">
        <v>5.4015076792294683E-2</v>
      </c>
    </row>
    <row r="56" spans="2:3" ht="16" customHeight="1" x14ac:dyDescent="0.2">
      <c r="B56" s="43" t="s">
        <v>114</v>
      </c>
      <c r="C56" s="54">
        <v>0.10049739542691996</v>
      </c>
    </row>
    <row r="57" spans="2:3" ht="16" customHeight="1" x14ac:dyDescent="0.2">
      <c r="B57" s="43" t="s">
        <v>115</v>
      </c>
      <c r="C57" s="54">
        <v>8.2061738975968967E-2</v>
      </c>
    </row>
    <row r="58" spans="2:3" ht="16" customHeight="1" x14ac:dyDescent="0.2">
      <c r="B58" s="43" t="s">
        <v>116</v>
      </c>
      <c r="C58" s="54">
        <v>5.1044402293089305E-2</v>
      </c>
    </row>
    <row r="59" spans="2:3" ht="16" customHeight="1" x14ac:dyDescent="0.2">
      <c r="B59" s="43" t="s">
        <v>117</v>
      </c>
      <c r="C59" s="54">
        <v>5.2005502866361637E-2</v>
      </c>
    </row>
    <row r="60" spans="2:3" ht="16" customHeight="1" x14ac:dyDescent="0.2">
      <c r="B60" s="43" t="s">
        <v>118</v>
      </c>
      <c r="C60" s="54">
        <v>0.1198067796717549</v>
      </c>
    </row>
    <row r="61" spans="2:3" ht="16" customHeight="1" x14ac:dyDescent="0.2">
      <c r="B61" s="43" t="s">
        <v>120</v>
      </c>
      <c r="C61" s="54">
        <v>7.629513553633499E-2</v>
      </c>
    </row>
    <row r="62" spans="2:3" ht="16" customHeight="1" x14ac:dyDescent="0.2">
      <c r="B62" s="43" t="s">
        <v>121</v>
      </c>
      <c r="C62" s="54">
        <v>4.7199999999999999E-2</v>
      </c>
    </row>
    <row r="63" spans="2:3" ht="16" customHeight="1" x14ac:dyDescent="0.2">
      <c r="B63" s="43" t="s">
        <v>122</v>
      </c>
      <c r="C63" s="54">
        <v>0.1101957739390316</v>
      </c>
    </row>
    <row r="64" spans="2:3" ht="16" customHeight="1" x14ac:dyDescent="0.2">
      <c r="B64" s="43" t="s">
        <v>124</v>
      </c>
      <c r="C64" s="54">
        <v>8.2061738975968967E-2</v>
      </c>
    </row>
    <row r="65" spans="2:3" ht="16" customHeight="1" x14ac:dyDescent="0.2">
      <c r="B65" s="43" t="s">
        <v>126</v>
      </c>
      <c r="C65" s="54">
        <v>7.1402259890584963E-2</v>
      </c>
    </row>
    <row r="66" spans="2:3" ht="16" customHeight="1" x14ac:dyDescent="0.2">
      <c r="B66" s="43" t="s">
        <v>265</v>
      </c>
      <c r="C66" s="54">
        <v>4.7199999999999999E-2</v>
      </c>
    </row>
    <row r="67" spans="2:3" ht="16" customHeight="1" x14ac:dyDescent="0.2">
      <c r="B67" s="43" t="s">
        <v>128</v>
      </c>
      <c r="C67" s="54">
        <v>9.0799016914808295E-2</v>
      </c>
    </row>
    <row r="68" spans="2:3" ht="16" customHeight="1" x14ac:dyDescent="0.2">
      <c r="B68" s="43" t="s">
        <v>129</v>
      </c>
      <c r="C68" s="54">
        <v>5.3053976219022358E-2</v>
      </c>
    </row>
    <row r="69" spans="2:3" ht="16" customHeight="1" x14ac:dyDescent="0.2">
      <c r="B69" s="43" t="s">
        <v>130</v>
      </c>
      <c r="C69" s="54">
        <v>6.8518958170767988E-2</v>
      </c>
    </row>
    <row r="70" spans="2:3" ht="16" customHeight="1" x14ac:dyDescent="0.2">
      <c r="B70" s="43" t="s">
        <v>131</v>
      </c>
      <c r="C70" s="54">
        <v>5.5413041262508976E-2</v>
      </c>
    </row>
    <row r="71" spans="2:3" ht="16" customHeight="1" x14ac:dyDescent="0.2">
      <c r="B71" s="43" t="s">
        <v>132</v>
      </c>
      <c r="C71" s="54">
        <v>6.8518958170767988E-2</v>
      </c>
    </row>
    <row r="72" spans="2:3" ht="16" customHeight="1" x14ac:dyDescent="0.2">
      <c r="B72" s="43" t="s">
        <v>133</v>
      </c>
      <c r="C72" s="54">
        <v>6.5635656450950999E-2</v>
      </c>
    </row>
    <row r="73" spans="2:3" ht="16" customHeight="1" x14ac:dyDescent="0.2">
      <c r="B73" s="43" t="s">
        <v>134</v>
      </c>
      <c r="C73" s="54">
        <v>0.1198067796717549</v>
      </c>
    </row>
    <row r="74" spans="2:3" ht="16" customHeight="1" x14ac:dyDescent="0.2">
      <c r="B74" s="43" t="s">
        <v>135</v>
      </c>
      <c r="C74" s="54">
        <v>5.5413041262508976E-2</v>
      </c>
    </row>
    <row r="75" spans="2:3" ht="16" customHeight="1" x14ac:dyDescent="0.2">
      <c r="B75" s="43" t="s">
        <v>136</v>
      </c>
      <c r="C75" s="54">
        <v>5.3053976219022358E-2</v>
      </c>
    </row>
    <row r="76" spans="2:3" ht="16" customHeight="1" x14ac:dyDescent="0.2">
      <c r="B76" s="43" t="s">
        <v>137</v>
      </c>
      <c r="C76" s="54">
        <v>5.4015076792294683E-2</v>
      </c>
    </row>
    <row r="77" spans="2:3" ht="16" customHeight="1" x14ac:dyDescent="0.2">
      <c r="B77" s="43" t="s">
        <v>138</v>
      </c>
      <c r="C77" s="54">
        <v>6.8518958170767988E-2</v>
      </c>
    </row>
    <row r="78" spans="2:3" ht="16" customHeight="1" x14ac:dyDescent="0.2">
      <c r="B78" s="43" t="s">
        <v>140</v>
      </c>
      <c r="C78" s="54">
        <v>0.10049739542691996</v>
      </c>
    </row>
    <row r="79" spans="2:3" ht="16" customHeight="1" x14ac:dyDescent="0.2">
      <c r="B79" s="43" t="s">
        <v>141</v>
      </c>
      <c r="C79" s="54">
        <v>5.4015076792294683E-2</v>
      </c>
    </row>
    <row r="80" spans="2:3" ht="16" customHeight="1" x14ac:dyDescent="0.2">
      <c r="B80" s="43" t="s">
        <v>266</v>
      </c>
      <c r="C80" s="54">
        <v>4.7199999999999999E-2</v>
      </c>
    </row>
    <row r="81" spans="2:3" ht="16" customHeight="1" x14ac:dyDescent="0.2">
      <c r="B81" s="43" t="s">
        <v>143</v>
      </c>
      <c r="C81" s="54">
        <v>9.0799016914808295E-2</v>
      </c>
    </row>
    <row r="82" spans="2:3" ht="16" customHeight="1" x14ac:dyDescent="0.2">
      <c r="B82" s="43" t="s">
        <v>144</v>
      </c>
      <c r="C82" s="54">
        <v>6.8518958170767988E-2</v>
      </c>
    </row>
    <row r="83" spans="2:3" ht="16" customHeight="1" x14ac:dyDescent="0.2">
      <c r="B83" s="43" t="s">
        <v>145</v>
      </c>
      <c r="C83" s="54">
        <v>0.10049739542691996</v>
      </c>
    </row>
    <row r="84" spans="2:3" ht="16" customHeight="1" x14ac:dyDescent="0.2">
      <c r="B84" s="43" t="s">
        <v>267</v>
      </c>
      <c r="C84" s="54">
        <v>5.2005502866361637E-2</v>
      </c>
    </row>
    <row r="85" spans="2:3" ht="16" customHeight="1" x14ac:dyDescent="0.2">
      <c r="B85" s="43" t="s">
        <v>146</v>
      </c>
      <c r="C85" s="54">
        <v>5.4015076792294683E-2</v>
      </c>
    </row>
    <row r="86" spans="2:3" ht="16" customHeight="1" x14ac:dyDescent="0.2">
      <c r="B86" s="43" t="s">
        <v>147</v>
      </c>
      <c r="C86" s="54">
        <v>0.10049739542691996</v>
      </c>
    </row>
    <row r="87" spans="2:3" ht="16" customHeight="1" x14ac:dyDescent="0.2">
      <c r="B87" s="43" t="s">
        <v>268</v>
      </c>
      <c r="C87" s="54">
        <v>0.1343980338296166</v>
      </c>
    </row>
    <row r="88" spans="2:3" ht="16" customHeight="1" x14ac:dyDescent="0.2">
      <c r="B88" s="43" t="s">
        <v>148</v>
      </c>
      <c r="C88" s="54">
        <v>5.8820579658656322E-2</v>
      </c>
    </row>
    <row r="89" spans="2:3" ht="16" customHeight="1" x14ac:dyDescent="0.2">
      <c r="B89" s="43" t="s">
        <v>149</v>
      </c>
      <c r="C89" s="54">
        <v>0.23898657542527282</v>
      </c>
    </row>
    <row r="90" spans="2:3" ht="16" customHeight="1" x14ac:dyDescent="0.2">
      <c r="B90" s="43" t="s">
        <v>151</v>
      </c>
      <c r="C90" s="54">
        <v>4.7199999999999999E-2</v>
      </c>
    </row>
    <row r="91" spans="2:3" ht="16" customHeight="1" x14ac:dyDescent="0.2">
      <c r="B91" s="43" t="s">
        <v>152</v>
      </c>
      <c r="C91" s="54">
        <v>5.8820579658656322E-2</v>
      </c>
    </row>
    <row r="92" spans="2:3" ht="16" customHeight="1" x14ac:dyDescent="0.2">
      <c r="B92" s="43" t="s">
        <v>153</v>
      </c>
      <c r="C92" s="54">
        <v>4.7199999999999999E-2</v>
      </c>
    </row>
    <row r="93" spans="2:3" ht="16" customHeight="1" x14ac:dyDescent="0.2">
      <c r="B93" s="43" t="s">
        <v>269</v>
      </c>
      <c r="C93" s="54">
        <v>5.3053976219022358E-2</v>
      </c>
    </row>
    <row r="94" spans="2:3" ht="16" customHeight="1" x14ac:dyDescent="0.2">
      <c r="B94" s="43" t="s">
        <v>155</v>
      </c>
      <c r="C94" s="54">
        <v>8.2061738975968967E-2</v>
      </c>
    </row>
    <row r="95" spans="2:3" ht="16" customHeight="1" x14ac:dyDescent="0.2">
      <c r="B95" s="43" t="s">
        <v>158</v>
      </c>
      <c r="C95" s="54">
        <v>5.8820579658656322E-2</v>
      </c>
    </row>
    <row r="96" spans="2:3" ht="16" customHeight="1" x14ac:dyDescent="0.2">
      <c r="B96" s="43" t="s">
        <v>270</v>
      </c>
      <c r="C96" s="54">
        <v>0.1101957739390316</v>
      </c>
    </row>
    <row r="97" spans="2:3" ht="16" customHeight="1" x14ac:dyDescent="0.2">
      <c r="B97" s="43" t="s">
        <v>271</v>
      </c>
      <c r="C97" s="54">
        <v>0.1198067796717549</v>
      </c>
    </row>
    <row r="98" spans="2:3" ht="16" customHeight="1" x14ac:dyDescent="0.2">
      <c r="B98" s="43" t="s">
        <v>159</v>
      </c>
      <c r="C98" s="54">
        <v>5.5413041262508976E-2</v>
      </c>
    </row>
    <row r="99" spans="2:3" ht="16" customHeight="1" x14ac:dyDescent="0.2">
      <c r="B99" s="43" t="s">
        <v>160</v>
      </c>
      <c r="C99" s="54">
        <v>6.2664981951745621E-2</v>
      </c>
    </row>
    <row r="100" spans="2:3" ht="16" customHeight="1" x14ac:dyDescent="0.2">
      <c r="B100" s="43" t="s">
        <v>161</v>
      </c>
      <c r="C100" s="54">
        <v>6.2664981951745621E-2</v>
      </c>
    </row>
    <row r="101" spans="2:3" ht="16" customHeight="1" x14ac:dyDescent="0.2">
      <c r="B101" s="43" t="s">
        <v>162</v>
      </c>
      <c r="C101" s="54">
        <v>0.1101957739390316</v>
      </c>
    </row>
    <row r="102" spans="2:3" ht="16" customHeight="1" x14ac:dyDescent="0.2">
      <c r="B102" s="43" t="s">
        <v>164</v>
      </c>
      <c r="C102" s="54">
        <v>0.1101957739390316</v>
      </c>
    </row>
    <row r="103" spans="2:3" ht="16" customHeight="1" x14ac:dyDescent="0.2">
      <c r="B103" s="43" t="s">
        <v>165</v>
      </c>
      <c r="C103" s="54">
        <v>9.0799016914808295E-2</v>
      </c>
    </row>
    <row r="104" spans="2:3" ht="16" customHeight="1" x14ac:dyDescent="0.2">
      <c r="B104" s="43" t="s">
        <v>272</v>
      </c>
      <c r="C104" s="54">
        <v>6.8518958170767988E-2</v>
      </c>
    </row>
    <row r="105" spans="2:3" ht="16" customHeight="1" x14ac:dyDescent="0.2">
      <c r="B105" s="43" t="s">
        <v>166</v>
      </c>
      <c r="C105" s="54">
        <v>7.1402259890584963E-2</v>
      </c>
    </row>
    <row r="106" spans="2:3" ht="16" customHeight="1" x14ac:dyDescent="0.2">
      <c r="B106" s="43" t="s">
        <v>167</v>
      </c>
      <c r="C106" s="54">
        <v>0.1343980338296166</v>
      </c>
    </row>
    <row r="107" spans="2:3" ht="16" customHeight="1" x14ac:dyDescent="0.2">
      <c r="B107" s="43" t="s">
        <v>169</v>
      </c>
      <c r="C107" s="54">
        <v>8.2061738975968967E-2</v>
      </c>
    </row>
    <row r="108" spans="2:3" ht="16" customHeight="1" x14ac:dyDescent="0.2">
      <c r="B108" s="43" t="s">
        <v>170</v>
      </c>
      <c r="C108" s="54">
        <v>4.7199999999999999E-2</v>
      </c>
    </row>
    <row r="109" spans="2:3" ht="16" customHeight="1" x14ac:dyDescent="0.2">
      <c r="B109" s="43" t="s">
        <v>171</v>
      </c>
      <c r="C109" s="54">
        <v>4.7199999999999999E-2</v>
      </c>
    </row>
    <row r="110" spans="2:3" ht="16" customHeight="1" x14ac:dyDescent="0.2">
      <c r="B110" s="43" t="s">
        <v>172</v>
      </c>
      <c r="C110" s="54">
        <v>0.1101957739390316</v>
      </c>
    </row>
    <row r="111" spans="2:3" ht="16" customHeight="1" x14ac:dyDescent="0.2">
      <c r="B111" s="43" t="s">
        <v>273</v>
      </c>
      <c r="C111" s="54">
        <v>0.1101957739390316</v>
      </c>
    </row>
    <row r="112" spans="2:3" ht="16" customHeight="1" x14ac:dyDescent="0.2">
      <c r="B112" s="43" t="s">
        <v>173</v>
      </c>
      <c r="C112" s="54">
        <v>0.10049739542691996</v>
      </c>
    </row>
    <row r="113" spans="2:3" ht="16" customHeight="1" x14ac:dyDescent="0.2">
      <c r="B113" s="43" t="s">
        <v>174</v>
      </c>
      <c r="C113" s="54">
        <v>4.7199999999999999E-2</v>
      </c>
    </row>
    <row r="114" spans="2:3" ht="16" customHeight="1" x14ac:dyDescent="0.2">
      <c r="B114" s="43" t="s">
        <v>175</v>
      </c>
      <c r="C114" s="54">
        <v>8.2061738975968967E-2</v>
      </c>
    </row>
    <row r="115" spans="2:3" ht="16" customHeight="1" x14ac:dyDescent="0.2">
      <c r="B115" s="43" t="s">
        <v>176</v>
      </c>
      <c r="C115" s="54">
        <v>0.1101957739390316</v>
      </c>
    </row>
    <row r="116" spans="2:3" ht="16" customHeight="1" x14ac:dyDescent="0.2">
      <c r="B116" s="43" t="s">
        <v>178</v>
      </c>
      <c r="C116" s="54">
        <v>6.2664981951745621E-2</v>
      </c>
    </row>
    <row r="117" spans="2:3" ht="16" customHeight="1" x14ac:dyDescent="0.2">
      <c r="B117" s="43" t="s">
        <v>179</v>
      </c>
      <c r="C117" s="54">
        <v>0.10049739542691996</v>
      </c>
    </row>
    <row r="118" spans="2:3" ht="16" customHeight="1" x14ac:dyDescent="0.2">
      <c r="B118" s="43" t="s">
        <v>180</v>
      </c>
      <c r="C118" s="54">
        <v>7.1402259890584963E-2</v>
      </c>
    </row>
    <row r="119" spans="2:3" ht="16" customHeight="1" x14ac:dyDescent="0.2">
      <c r="B119" s="43" t="s">
        <v>181</v>
      </c>
      <c r="C119" s="54">
        <v>5.8820579658656322E-2</v>
      </c>
    </row>
    <row r="120" spans="2:3" ht="16" customHeight="1" x14ac:dyDescent="0.2">
      <c r="B120" s="43" t="s">
        <v>182</v>
      </c>
      <c r="C120" s="54">
        <v>6.5635656450950999E-2</v>
      </c>
    </row>
    <row r="121" spans="2:3" ht="16" customHeight="1" x14ac:dyDescent="0.2">
      <c r="B121" s="43" t="s">
        <v>183</v>
      </c>
      <c r="C121" s="54">
        <v>5.5413041262508976E-2</v>
      </c>
    </row>
    <row r="122" spans="2:3" ht="16" customHeight="1" x14ac:dyDescent="0.2">
      <c r="B122" s="43" t="s">
        <v>184</v>
      </c>
      <c r="C122" s="54">
        <v>6.8518958170767988E-2</v>
      </c>
    </row>
    <row r="123" spans="2:3" ht="16" customHeight="1" x14ac:dyDescent="0.2">
      <c r="B123" s="43" t="s">
        <v>185</v>
      </c>
      <c r="C123" s="54">
        <v>5.3053976219022358E-2</v>
      </c>
    </row>
    <row r="124" spans="2:3" ht="16" customHeight="1" x14ac:dyDescent="0.2">
      <c r="B124" s="43" t="s">
        <v>274</v>
      </c>
      <c r="C124" s="54">
        <v>4.7199999999999999E-2</v>
      </c>
    </row>
    <row r="125" spans="2:3" ht="16" customHeight="1" x14ac:dyDescent="0.2">
      <c r="B125" s="43" t="s">
        <v>186</v>
      </c>
      <c r="C125" s="54">
        <v>6.8518958170767988E-2</v>
      </c>
    </row>
    <row r="126" spans="2:3" ht="16" customHeight="1" x14ac:dyDescent="0.2">
      <c r="B126" s="43" t="s">
        <v>187</v>
      </c>
      <c r="C126" s="54">
        <v>6.8518958170767988E-2</v>
      </c>
    </row>
    <row r="127" spans="2:3" ht="16" customHeight="1" x14ac:dyDescent="0.2">
      <c r="B127" s="43" t="s">
        <v>188</v>
      </c>
      <c r="C127" s="54">
        <v>0.10049739542691996</v>
      </c>
    </row>
    <row r="128" spans="2:3" ht="16" customHeight="1" x14ac:dyDescent="0.2">
      <c r="B128" s="43" t="s">
        <v>193</v>
      </c>
      <c r="C128" s="54">
        <v>5.4015076792294683E-2</v>
      </c>
    </row>
    <row r="129" spans="2:3" ht="16" customHeight="1" x14ac:dyDescent="0.2">
      <c r="B129" s="43" t="s">
        <v>194</v>
      </c>
      <c r="C129" s="54">
        <v>8.2061738975968967E-2</v>
      </c>
    </row>
    <row r="130" spans="2:3" ht="16" customHeight="1" x14ac:dyDescent="0.2">
      <c r="B130" s="43" t="s">
        <v>195</v>
      </c>
      <c r="C130" s="54">
        <v>8.2061738975968967E-2</v>
      </c>
    </row>
    <row r="131" spans="2:3" ht="16" customHeight="1" x14ac:dyDescent="0.2">
      <c r="B131" s="43" t="s">
        <v>275</v>
      </c>
      <c r="C131" s="54">
        <v>6.5635656450950999E-2</v>
      </c>
    </row>
    <row r="132" spans="2:3" ht="16" customHeight="1" x14ac:dyDescent="0.2">
      <c r="B132" s="43" t="s">
        <v>197</v>
      </c>
      <c r="C132" s="54">
        <v>4.7199999999999999E-2</v>
      </c>
    </row>
    <row r="133" spans="2:3" ht="16" customHeight="1" x14ac:dyDescent="0.2">
      <c r="B133" s="43" t="s">
        <v>199</v>
      </c>
      <c r="C133" s="54">
        <v>5.5413041262508976E-2</v>
      </c>
    </row>
    <row r="134" spans="2:3" ht="16" customHeight="1" x14ac:dyDescent="0.2">
      <c r="B134" s="43" t="s">
        <v>200</v>
      </c>
      <c r="C134" s="54">
        <v>5.8820579658656322E-2</v>
      </c>
    </row>
    <row r="135" spans="2:3" ht="16" customHeight="1" x14ac:dyDescent="0.2">
      <c r="B135" s="43" t="s">
        <v>201</v>
      </c>
      <c r="C135" s="54">
        <v>0.1101957739390316</v>
      </c>
    </row>
    <row r="136" spans="2:3" ht="16" customHeight="1" x14ac:dyDescent="0.2">
      <c r="B136" s="43" t="s">
        <v>202</v>
      </c>
      <c r="C136" s="54">
        <v>7.629513553633499E-2</v>
      </c>
    </row>
    <row r="137" spans="2:3" ht="16" customHeight="1" x14ac:dyDescent="0.2">
      <c r="B137" s="43" t="s">
        <v>204</v>
      </c>
      <c r="C137" s="54">
        <v>6.2664981951745621E-2</v>
      </c>
    </row>
    <row r="138" spans="2:3" ht="16" customHeight="1" x14ac:dyDescent="0.2">
      <c r="B138" s="43" t="s">
        <v>205</v>
      </c>
      <c r="C138" s="54">
        <v>0.1198067796717549</v>
      </c>
    </row>
    <row r="139" spans="2:3" ht="16" customHeight="1" x14ac:dyDescent="0.2">
      <c r="B139" s="43" t="s">
        <v>276</v>
      </c>
      <c r="C139" s="54">
        <v>6.8518958170767988E-2</v>
      </c>
    </row>
    <row r="140" spans="2:3" ht="16" customHeight="1" x14ac:dyDescent="0.2">
      <c r="B140" s="43" t="s">
        <v>277</v>
      </c>
      <c r="C140" s="54">
        <v>0.1101957739390316</v>
      </c>
    </row>
    <row r="141" spans="2:3" ht="16" customHeight="1" x14ac:dyDescent="0.2">
      <c r="B141" s="43" t="s">
        <v>208</v>
      </c>
      <c r="C141" s="54">
        <v>0.14400903956233987</v>
      </c>
    </row>
    <row r="142" spans="2:3" ht="16" customHeight="1" x14ac:dyDescent="0.2">
      <c r="B142" s="43" t="s">
        <v>209</v>
      </c>
      <c r="C142" s="54">
        <v>0.1101957739390316</v>
      </c>
    </row>
    <row r="143" spans="2:3" ht="16" customHeight="1" x14ac:dyDescent="0.2">
      <c r="B143" s="43" t="s">
        <v>210</v>
      </c>
      <c r="C143" s="54">
        <v>4.7199999999999999E-2</v>
      </c>
    </row>
    <row r="144" spans="2:3" ht="16" customHeight="1" x14ac:dyDescent="0.2">
      <c r="B144" s="43" t="s">
        <v>211</v>
      </c>
      <c r="C144" s="54">
        <v>4.7199999999999999E-2</v>
      </c>
    </row>
    <row r="145" spans="2:3" ht="16" customHeight="1" x14ac:dyDescent="0.2">
      <c r="B145" s="43" t="s">
        <v>213</v>
      </c>
      <c r="C145" s="54">
        <v>5.3053976219022358E-2</v>
      </c>
    </row>
    <row r="146" spans="2:3" ht="16" customHeight="1" x14ac:dyDescent="0.2">
      <c r="B146" s="43" t="s">
        <v>278</v>
      </c>
      <c r="C146" s="54">
        <v>0.1101957739390316</v>
      </c>
    </row>
    <row r="147" spans="2:3" ht="16" customHeight="1" x14ac:dyDescent="0.2">
      <c r="B147" s="43" t="s">
        <v>214</v>
      </c>
      <c r="C147" s="54">
        <v>0.10049739542691996</v>
      </c>
    </row>
    <row r="148" spans="2:3" ht="16" customHeight="1" x14ac:dyDescent="0.2">
      <c r="B148" s="43" t="s">
        <v>215</v>
      </c>
      <c r="C148" s="54">
        <v>6.2664981951745621E-2</v>
      </c>
    </row>
    <row r="149" spans="2:3" ht="16" customHeight="1" x14ac:dyDescent="0.2">
      <c r="B149" s="43" t="s">
        <v>279</v>
      </c>
      <c r="C149" s="54">
        <v>0.1101957739390316</v>
      </c>
    </row>
    <row r="150" spans="2:3" ht="16" customHeight="1" x14ac:dyDescent="0.2">
      <c r="B150" s="43" t="s">
        <v>216</v>
      </c>
      <c r="C150" s="54">
        <v>7.1402259890584963E-2</v>
      </c>
    </row>
    <row r="151" spans="2:3" ht="16" customHeight="1" x14ac:dyDescent="0.2">
      <c r="B151" s="43" t="s">
        <v>217</v>
      </c>
      <c r="C151" s="54">
        <v>0.10049739542691996</v>
      </c>
    </row>
    <row r="152" spans="2:3" ht="16" customHeight="1" x14ac:dyDescent="0.2">
      <c r="B152" s="43" t="s">
        <v>218</v>
      </c>
      <c r="C152" s="54">
        <v>0.10049739542691996</v>
      </c>
    </row>
    <row r="153" spans="2:3" ht="16" customHeight="1" x14ac:dyDescent="0.2">
      <c r="B153" s="43" t="s">
        <v>220</v>
      </c>
      <c r="C153" s="54">
        <v>6.2664981951745621E-2</v>
      </c>
    </row>
    <row r="154" spans="2:3" ht="16" customHeight="1" x14ac:dyDescent="0.2">
      <c r="B154" s="43" t="s">
        <v>221</v>
      </c>
      <c r="C154" s="54">
        <v>0.10049739542691996</v>
      </c>
    </row>
    <row r="155" spans="2:3" ht="16" customHeight="1" x14ac:dyDescent="0.2">
      <c r="B155" s="43" t="s">
        <v>222</v>
      </c>
      <c r="C155" s="54">
        <v>0.1101957739390316</v>
      </c>
    </row>
    <row r="156" spans="2:3" ht="16" customHeight="1" x14ac:dyDescent="0.2">
      <c r="B156" s="43" t="s">
        <v>280</v>
      </c>
      <c r="C156" s="54">
        <v>5.2005502866361637E-2</v>
      </c>
    </row>
    <row r="157" spans="2:3" ht="16" customHeight="1" x14ac:dyDescent="0.2">
      <c r="B157" s="43" t="s">
        <v>281</v>
      </c>
      <c r="C157" s="54">
        <v>5.3053976219022358E-2</v>
      </c>
    </row>
    <row r="158" spans="2:3" ht="16" customHeight="1" x14ac:dyDescent="0.2">
      <c r="B158" s="43" t="s">
        <v>282</v>
      </c>
      <c r="C158" s="54">
        <v>4.7199999999999999E-2</v>
      </c>
    </row>
    <row r="159" spans="2:3" ht="16" customHeight="1" x14ac:dyDescent="0.2">
      <c r="B159" s="43" t="s">
        <v>226</v>
      </c>
      <c r="C159" s="54">
        <v>6.5635656450950999E-2</v>
      </c>
    </row>
    <row r="160" spans="2:3" ht="16" customHeight="1" x14ac:dyDescent="0.2">
      <c r="B160" s="43" t="s">
        <v>227</v>
      </c>
      <c r="C160" s="54">
        <v>9.0799016914808295E-2</v>
      </c>
    </row>
    <row r="161" spans="2:5" ht="16" customHeight="1" x14ac:dyDescent="0.2">
      <c r="B161" s="44" t="s">
        <v>229</v>
      </c>
      <c r="C161" s="57">
        <v>0.23898657542527282</v>
      </c>
    </row>
    <row r="162" spans="2:5" ht="16" customHeight="1" x14ac:dyDescent="0.2">
      <c r="B162" s="43" t="s">
        <v>230</v>
      </c>
      <c r="C162" s="54">
        <v>8.2061738975968967E-2</v>
      </c>
    </row>
    <row r="163" spans="2:5" ht="16" customHeight="1" thickBot="1" x14ac:dyDescent="0.25">
      <c r="B163" s="45" t="s">
        <v>232</v>
      </c>
      <c r="C163" s="58">
        <v>0.16340579658656318</v>
      </c>
    </row>
    <row r="164" spans="2:5" ht="16" customHeight="1" x14ac:dyDescent="0.2">
      <c r="D164" s="46"/>
      <c r="E164" s="47"/>
    </row>
    <row r="165" spans="2:5" ht="16" customHeight="1" x14ac:dyDescent="0.2">
      <c r="B165" s="46" t="s">
        <v>253</v>
      </c>
      <c r="C165" s="46"/>
      <c r="D165" s="47"/>
      <c r="E165" s="48"/>
    </row>
    <row r="166" spans="2:5" ht="16" customHeight="1" x14ac:dyDescent="0.2">
      <c r="B166" s="41" t="s">
        <v>332</v>
      </c>
      <c r="C166" s="42"/>
      <c r="D166" s="47"/>
      <c r="E166" s="47"/>
    </row>
    <row r="167" spans="2:5" ht="16" customHeight="1" x14ac:dyDescent="0.2">
      <c r="B167" s="66" t="s">
        <v>10</v>
      </c>
      <c r="C167" s="67">
        <v>2020</v>
      </c>
      <c r="D167" s="47"/>
      <c r="E167" s="47"/>
    </row>
    <row r="168" spans="2:5" ht="16" customHeight="1" x14ac:dyDescent="0.2">
      <c r="B168" s="49" t="s">
        <v>65</v>
      </c>
      <c r="C168" s="59">
        <v>0.1343980338296166</v>
      </c>
      <c r="D168" s="47"/>
      <c r="E168" s="47"/>
    </row>
    <row r="169" spans="2:5" ht="16" customHeight="1" x14ac:dyDescent="0.2">
      <c r="B169" s="49" t="s">
        <v>283</v>
      </c>
      <c r="C169" s="59">
        <v>5.5413041262508976E-2</v>
      </c>
      <c r="D169" s="47"/>
      <c r="E169" s="47"/>
    </row>
    <row r="170" spans="2:5" ht="16" customHeight="1" x14ac:dyDescent="0.2">
      <c r="B170" s="49" t="s">
        <v>119</v>
      </c>
      <c r="C170" s="59">
        <v>0.1101957739390316</v>
      </c>
      <c r="D170" s="47"/>
      <c r="E170" s="47"/>
    </row>
    <row r="171" spans="2:5" ht="16" customHeight="1" x14ac:dyDescent="0.2">
      <c r="B171" s="49" t="s">
        <v>284</v>
      </c>
      <c r="C171" s="59">
        <v>0.16340579658656318</v>
      </c>
      <c r="D171" s="47"/>
      <c r="E171" s="47"/>
    </row>
    <row r="172" spans="2:5" ht="16" customHeight="1" x14ac:dyDescent="0.2">
      <c r="B172" s="49" t="s">
        <v>285</v>
      </c>
      <c r="C172" s="59">
        <v>0.1198067796717549</v>
      </c>
      <c r="D172" s="47"/>
      <c r="E172" s="47"/>
    </row>
    <row r="173" spans="2:5" ht="16" customHeight="1" x14ac:dyDescent="0.2">
      <c r="B173" s="49" t="s">
        <v>286</v>
      </c>
      <c r="C173" s="59">
        <v>0.10049739542691996</v>
      </c>
      <c r="D173" s="47"/>
      <c r="E173" s="47"/>
    </row>
    <row r="174" spans="2:5" ht="16" customHeight="1" x14ac:dyDescent="0.2">
      <c r="B174" s="49" t="s">
        <v>287</v>
      </c>
      <c r="C174" s="59">
        <v>0.16340579658656318</v>
      </c>
      <c r="D174" s="47"/>
      <c r="E174" s="47"/>
    </row>
    <row r="175" spans="2:5" ht="16" customHeight="1" x14ac:dyDescent="0.2">
      <c r="B175" s="49" t="s">
        <v>288</v>
      </c>
      <c r="C175" s="59">
        <v>0.1343980338296166</v>
      </c>
      <c r="D175" s="47"/>
      <c r="E175" s="47"/>
    </row>
    <row r="176" spans="2:5" ht="16" customHeight="1" x14ac:dyDescent="0.2">
      <c r="B176" s="49" t="s">
        <v>289</v>
      </c>
      <c r="C176" s="59">
        <v>0.16340579658656318</v>
      </c>
      <c r="D176" s="47"/>
      <c r="E176" s="47"/>
    </row>
    <row r="177" spans="2:5" ht="16" customHeight="1" x14ac:dyDescent="0.2">
      <c r="B177" s="49" t="s">
        <v>290</v>
      </c>
      <c r="C177" s="59">
        <v>0.16340579658656318</v>
      </c>
      <c r="D177" s="47"/>
      <c r="E177" s="47"/>
    </row>
    <row r="178" spans="2:5" ht="16" customHeight="1" x14ac:dyDescent="0.2">
      <c r="B178" s="49" t="s">
        <v>150</v>
      </c>
      <c r="C178" s="59">
        <v>0.1343980338296166</v>
      </c>
      <c r="D178" s="47"/>
      <c r="E178" s="47"/>
    </row>
    <row r="179" spans="2:5" ht="16" customHeight="1" x14ac:dyDescent="0.2">
      <c r="B179" s="49" t="s">
        <v>156</v>
      </c>
      <c r="C179" s="59">
        <v>0.1101957739390316</v>
      </c>
      <c r="D179" s="47"/>
      <c r="E179" s="47"/>
    </row>
    <row r="180" spans="2:5" ht="16" customHeight="1" x14ac:dyDescent="0.2">
      <c r="B180" s="49" t="s">
        <v>157</v>
      </c>
      <c r="C180" s="59">
        <v>0.1343980338296166</v>
      </c>
      <c r="D180" s="47"/>
      <c r="E180" s="47"/>
    </row>
    <row r="181" spans="2:5" ht="16" customHeight="1" x14ac:dyDescent="0.2">
      <c r="B181" s="49" t="s">
        <v>168</v>
      </c>
      <c r="C181" s="59">
        <v>0.1101957739390316</v>
      </c>
      <c r="D181" s="47"/>
      <c r="E181" s="47"/>
    </row>
    <row r="182" spans="2:5" ht="16" customHeight="1" x14ac:dyDescent="0.2">
      <c r="B182" s="49" t="s">
        <v>196</v>
      </c>
      <c r="C182" s="59">
        <v>0.1343980338296166</v>
      </c>
      <c r="D182" s="47"/>
      <c r="E182" s="47"/>
    </row>
    <row r="183" spans="2:5" ht="16" customHeight="1" x14ac:dyDescent="0.2">
      <c r="B183" s="49" t="s">
        <v>291</v>
      </c>
      <c r="C183" s="59">
        <v>0.16340579658656318</v>
      </c>
      <c r="D183" s="47"/>
      <c r="E183" s="47"/>
    </row>
    <row r="184" spans="2:5" ht="16" customHeight="1" x14ac:dyDescent="0.2">
      <c r="B184" s="49" t="s">
        <v>207</v>
      </c>
      <c r="C184" s="59">
        <v>0.23898657542527282</v>
      </c>
      <c r="D184" s="47"/>
      <c r="E184" s="47"/>
    </row>
    <row r="185" spans="2:5" ht="16" customHeight="1" x14ac:dyDescent="0.2">
      <c r="B185" s="49" t="s">
        <v>212</v>
      </c>
      <c r="C185" s="59">
        <v>0.23898657542527282</v>
      </c>
      <c r="D185" s="47"/>
      <c r="E185" s="47"/>
    </row>
    <row r="186" spans="2:5" ht="16" customHeight="1" x14ac:dyDescent="0.2">
      <c r="B186" s="49" t="s">
        <v>292</v>
      </c>
      <c r="C186" s="59">
        <v>0.23898657542527282</v>
      </c>
      <c r="D186" s="47"/>
      <c r="E186" s="47"/>
    </row>
    <row r="187" spans="2:5" ht="16" customHeight="1" thickBot="1" x14ac:dyDescent="0.25">
      <c r="B187" s="50" t="s">
        <v>233</v>
      </c>
      <c r="C187" s="60">
        <v>0.16340579658656318</v>
      </c>
      <c r="D187" s="47"/>
      <c r="E187" s="47"/>
    </row>
    <row r="188" spans="2:5" ht="16" customHeight="1" x14ac:dyDescent="0.2">
      <c r="B188" s="51" t="s">
        <v>245</v>
      </c>
      <c r="C188" s="52" t="s">
        <v>251</v>
      </c>
    </row>
    <row r="189" spans="2:5" ht="16" customHeight="1" x14ac:dyDescent="0.2">
      <c r="B189" s="53"/>
      <c r="C189" s="53"/>
    </row>
    <row r="190" spans="2:5" ht="16" customHeight="1" x14ac:dyDescent="0.2">
      <c r="B190" s="53"/>
      <c r="C190" s="53"/>
    </row>
    <row r="191" spans="2:5" ht="16" customHeight="1" x14ac:dyDescent="0.2">
      <c r="B191" s="53"/>
      <c r="C191" s="53"/>
    </row>
    <row r="192" spans="2:5" ht="16" customHeight="1" x14ac:dyDescent="0.2">
      <c r="B192" s="53"/>
      <c r="C192" s="53"/>
    </row>
    <row r="193" spans="2:3" ht="16" customHeight="1" x14ac:dyDescent="0.2">
      <c r="B193" s="53"/>
      <c r="C193" s="53"/>
    </row>
    <row r="194" spans="2:3" ht="16" customHeight="1" x14ac:dyDescent="0.2">
      <c r="B194" s="53"/>
      <c r="C194" s="53"/>
    </row>
    <row r="195" spans="2:3" ht="16" customHeight="1" x14ac:dyDescent="0.2">
      <c r="B195" s="53"/>
      <c r="C195" s="53"/>
    </row>
    <row r="196" spans="2:3" ht="16" customHeight="1" x14ac:dyDescent="0.2">
      <c r="B196" s="53"/>
      <c r="C196" s="53"/>
    </row>
    <row r="197" spans="2:3" ht="16" customHeight="1" x14ac:dyDescent="0.2">
      <c r="B197" s="53"/>
      <c r="C197" s="53"/>
    </row>
    <row r="198" spans="2:3" ht="16" customHeight="1" x14ac:dyDescent="0.2">
      <c r="B198" s="53"/>
      <c r="C198" s="53"/>
    </row>
    <row r="199" spans="2:3" ht="16" customHeight="1" x14ac:dyDescent="0.2">
      <c r="B199" s="53"/>
      <c r="C199" s="53"/>
    </row>
    <row r="200" spans="2:3" ht="16" customHeight="1" x14ac:dyDescent="0.2">
      <c r="B200" s="53"/>
      <c r="C200" s="53"/>
    </row>
    <row r="201" spans="2:3" ht="16" customHeight="1" x14ac:dyDescent="0.2">
      <c r="B201" s="53"/>
      <c r="C201" s="53"/>
    </row>
    <row r="202" spans="2:3" ht="16" customHeight="1" x14ac:dyDescent="0.2">
      <c r="B202" s="53"/>
      <c r="C202" s="53"/>
    </row>
    <row r="203" spans="2:3" ht="16" customHeight="1" x14ac:dyDescent="0.2">
      <c r="B203" s="53"/>
      <c r="C203" s="53"/>
    </row>
    <row r="204" spans="2:3" ht="16" customHeight="1" x14ac:dyDescent="0.2">
      <c r="B204" s="53"/>
      <c r="C204" s="53"/>
    </row>
    <row r="205" spans="2:3" ht="16" customHeight="1" x14ac:dyDescent="0.2">
      <c r="B205" s="53"/>
      <c r="C205" s="53"/>
    </row>
    <row r="206" spans="2:3" ht="16" customHeight="1" x14ac:dyDescent="0.2">
      <c r="B206" s="53"/>
      <c r="C206" s="53"/>
    </row>
    <row r="207" spans="2:3" ht="16" customHeight="1" x14ac:dyDescent="0.2">
      <c r="B207" s="53"/>
      <c r="C207" s="53"/>
    </row>
    <row r="208" spans="2:3" ht="16" customHeight="1" x14ac:dyDescent="0.2">
      <c r="B208" s="53"/>
      <c r="C208" s="53"/>
    </row>
    <row r="209" spans="2:3" ht="16" customHeight="1" x14ac:dyDescent="0.2">
      <c r="B209" s="53"/>
      <c r="C209" s="53"/>
    </row>
    <row r="210" spans="2:3" ht="16" customHeight="1" x14ac:dyDescent="0.2">
      <c r="B210" s="53"/>
      <c r="C210" s="53"/>
    </row>
    <row r="211" spans="2:3" ht="16" customHeight="1" x14ac:dyDescent="0.2">
      <c r="C211" s="53"/>
    </row>
  </sheetData>
  <hyperlinks>
    <hyperlink ref="C188" r:id="rId1" xr:uid="{00000000-0004-0000-0600-000000000000}"/>
    <hyperlink ref="A1" location="Index!A1" display="Index" xr:uid="{A05CCFD4-6EDA-C043-AABA-4CB6194B496D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Index</vt:lpstr>
      <vt:lpstr>Input</vt:lpstr>
      <vt:lpstr>WACC</vt:lpstr>
      <vt:lpstr>Ke_FSI</vt:lpstr>
      <vt:lpstr>Peers</vt:lpstr>
      <vt:lpstr>Kd</vt:lpstr>
      <vt:lpstr>Tax</vt:lpstr>
      <vt:lpstr>ERP</vt:lpstr>
      <vt:lpstr>CRP</vt:lpstr>
      <vt:lpstr>Inflation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2021-02-21T08:29:21Z</dcterms:created>
  <dcterms:modified xsi:type="dcterms:W3CDTF">2021-04-06T09:53:33Z</dcterms:modified>
  <cp:category/>
</cp:coreProperties>
</file>