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23"/>
  <workbookPr autoCompressPictures="0" defaultThemeVersion="166925"/>
  <mc:AlternateContent xmlns:mc="http://schemas.openxmlformats.org/markup-compatibility/2006">
    <mc:Choice Requires="x15">
      <x15ac:absPath xmlns:x15ac="http://schemas.microsoft.com/office/spreadsheetml/2010/11/ac" url="/Users/diletta/Desktop/B4C/"/>
    </mc:Choice>
  </mc:AlternateContent>
  <xr:revisionPtr revIDLastSave="0" documentId="13_ncr:1_{B868AE8E-17B3-1A47-8B39-C34F4513BB1A}" xr6:coauthVersionLast="46" xr6:coauthVersionMax="46" xr10:uidLastSave="{00000000-0000-0000-0000-000000000000}"/>
  <bookViews>
    <workbookView xWindow="0" yWindow="460" windowWidth="21960" windowHeight="14300" xr2:uid="{00000000-000D-0000-FFFF-FFFF00000000}"/>
  </bookViews>
  <sheets>
    <sheet name="Cover" sheetId="6" r:id="rId1"/>
    <sheet name="Index" sheetId="7" r:id="rId2"/>
    <sheet name="Instructions" sheetId="2" r:id="rId3"/>
    <sheet name="Transactions" sheetId="1" r:id="rId4"/>
    <sheet name="Input" sheetId="4" r:id="rId5"/>
    <sheet name="Valuation" sheetId="3" r:id="rId6"/>
    <sheet name="Valuation_Minority" sheetId="5" r:id="rId7"/>
  </sheets>
  <calcPr calcId="191029" calcMode="autoNoTable" iterateDelta="9.9999999999994451E-4"/>
  <extLst>
    <ext xmlns:mx="http://schemas.microsoft.com/office/mac/excel/2008/main" uri="{7523E5D3-25F3-A5E0-1632-64F254C22452}">
      <mx:ArchID Flags="2"/>
    </ext>
  </extLst>
</workbook>
</file>

<file path=xl/calcChain.xml><?xml version="1.0" encoding="utf-8"?>
<calcChain xmlns="http://schemas.openxmlformats.org/spreadsheetml/2006/main">
  <c r="A3" i="5" l="1"/>
  <c r="A2" i="5"/>
  <c r="A3" i="3"/>
  <c r="A2" i="3"/>
  <c r="A3" i="4"/>
  <c r="A2" i="4"/>
  <c r="A3" i="1"/>
  <c r="A2" i="1"/>
  <c r="A3" i="2"/>
  <c r="A2" i="2"/>
  <c r="A3" i="7"/>
  <c r="A2" i="7"/>
  <c r="X7" i="1" l="1"/>
  <c r="X8" i="1"/>
  <c r="X9" i="1"/>
  <c r="X10" i="1"/>
  <c r="X11" i="1"/>
  <c r="X12" i="1"/>
  <c r="X13" i="1"/>
  <c r="X14" i="1"/>
  <c r="X15" i="1"/>
  <c r="X16" i="1"/>
  <c r="B8" i="1"/>
  <c r="B9" i="1" s="1"/>
  <c r="B10" i="1" s="1"/>
  <c r="D8" i="5"/>
  <c r="E8" i="5" s="1"/>
  <c r="E10" i="5"/>
  <c r="B13" i="5"/>
  <c r="B14" i="5" s="1"/>
  <c r="D17" i="5"/>
  <c r="E17" i="5" s="1"/>
  <c r="D19" i="5"/>
  <c r="E19" i="5" s="1"/>
  <c r="C10" i="5"/>
  <c r="C17" i="5"/>
  <c r="E14" i="5"/>
  <c r="E15" i="5"/>
  <c r="C14" i="5"/>
  <c r="C15" i="5"/>
  <c r="J6" i="5"/>
  <c r="J7" i="5" s="1"/>
  <c r="J8" i="5" s="1"/>
  <c r="D11" i="5" s="1"/>
  <c r="B12" i="5"/>
  <c r="B11" i="5"/>
  <c r="B10" i="5"/>
  <c r="B9" i="5"/>
  <c r="B7" i="5"/>
  <c r="B6" i="5"/>
  <c r="B5" i="5"/>
  <c r="J6" i="3"/>
  <c r="K6" i="3" s="1"/>
  <c r="L6" i="3" s="1"/>
  <c r="Y7" i="1"/>
  <c r="Y8" i="1"/>
  <c r="Y9" i="1"/>
  <c r="Y10" i="1"/>
  <c r="Y11" i="1"/>
  <c r="Y12" i="1"/>
  <c r="Y13" i="1"/>
  <c r="Y14" i="1"/>
  <c r="Y15" i="1"/>
  <c r="Y21" i="1" s="1"/>
  <c r="Y16" i="1"/>
  <c r="W7" i="1"/>
  <c r="W8" i="1"/>
  <c r="W9" i="1"/>
  <c r="W10" i="1"/>
  <c r="W11" i="1"/>
  <c r="W12" i="1"/>
  <c r="W13" i="1"/>
  <c r="W20" i="1" s="1"/>
  <c r="W14" i="1"/>
  <c r="W15" i="1"/>
  <c r="W16" i="1"/>
  <c r="N7" i="1"/>
  <c r="AA7" i="1" s="1"/>
  <c r="N8" i="1"/>
  <c r="AA8" i="1" s="1"/>
  <c r="N9" i="1"/>
  <c r="AA9" i="1" s="1"/>
  <c r="N10" i="1"/>
  <c r="AA10" i="1"/>
  <c r="N11" i="1"/>
  <c r="AA11" i="1" s="1"/>
  <c r="N12" i="1"/>
  <c r="AA12" i="1" s="1"/>
  <c r="N13" i="1"/>
  <c r="AA13" i="1" s="1"/>
  <c r="N14" i="1"/>
  <c r="Z14" i="1" s="1"/>
  <c r="N15" i="1"/>
  <c r="AA15" i="1" s="1"/>
  <c r="N16" i="1"/>
  <c r="AA16" i="1" s="1"/>
  <c r="Z10" i="1"/>
  <c r="Z11" i="1"/>
  <c r="B10" i="3"/>
  <c r="B12" i="3"/>
  <c r="D8" i="3"/>
  <c r="E8" i="3" s="1"/>
  <c r="E10" i="3"/>
  <c r="C10" i="3"/>
  <c r="B11" i="3"/>
  <c r="B9" i="3"/>
  <c r="B7" i="3"/>
  <c r="B13" i="3"/>
  <c r="B15" i="3" s="1"/>
  <c r="E14" i="3"/>
  <c r="E15" i="3"/>
  <c r="D17" i="3"/>
  <c r="E17" i="3" s="1"/>
  <c r="C14" i="3"/>
  <c r="C15" i="3"/>
  <c r="B5" i="3"/>
  <c r="B6" i="3"/>
  <c r="AD21" i="1"/>
  <c r="AC21" i="1"/>
  <c r="AB21" i="1"/>
  <c r="AD20" i="1"/>
  <c r="AC20" i="1"/>
  <c r="AB20" i="1"/>
  <c r="AD17" i="1"/>
  <c r="AC17" i="1"/>
  <c r="AB17" i="1"/>
  <c r="AD18" i="1"/>
  <c r="AC18" i="1"/>
  <c r="AB18" i="1"/>
  <c r="C8" i="3" l="1"/>
  <c r="B16" i="3"/>
  <c r="C17" i="3"/>
  <c r="C8" i="5"/>
  <c r="M6" i="3"/>
  <c r="K7" i="3"/>
  <c r="K8" i="3" s="1"/>
  <c r="J7" i="3"/>
  <c r="J8" i="3" s="1"/>
  <c r="D11" i="3" s="1"/>
  <c r="E11" i="3" s="1"/>
  <c r="E12" i="3" s="1"/>
  <c r="Z7" i="1"/>
  <c r="AD19" i="1"/>
  <c r="Z15" i="1"/>
  <c r="Y20" i="1"/>
  <c r="X17" i="1"/>
  <c r="AB19" i="1"/>
  <c r="Z12" i="1"/>
  <c r="X18" i="1"/>
  <c r="AA14" i="1"/>
  <c r="AA18" i="1" s="1"/>
  <c r="W17" i="1"/>
  <c r="Z8" i="1"/>
  <c r="X21" i="1"/>
  <c r="AC19" i="1"/>
  <c r="Y18" i="1"/>
  <c r="Z16" i="1"/>
  <c r="W21" i="1"/>
  <c r="E11" i="5"/>
  <c r="E12" i="5" s="1"/>
  <c r="D12" i="5"/>
  <c r="C11" i="5"/>
  <c r="C12" i="5" s="1"/>
  <c r="AA20" i="1"/>
  <c r="AA21" i="1"/>
  <c r="B11" i="1"/>
  <c r="B12" i="1" s="1"/>
  <c r="B13" i="1" s="1"/>
  <c r="B14" i="1" s="1"/>
  <c r="B15" i="1" s="1"/>
  <c r="B16" i="1" s="1"/>
  <c r="D7" i="3"/>
  <c r="Y17" i="1"/>
  <c r="Y19" i="1" s="1"/>
  <c r="B15" i="5"/>
  <c r="C19" i="5"/>
  <c r="X20" i="1"/>
  <c r="B14" i="3"/>
  <c r="W18" i="1"/>
  <c r="Z13" i="1"/>
  <c r="Z9" i="1"/>
  <c r="K6" i="5"/>
  <c r="B16" i="5"/>
  <c r="D12" i="3" l="1"/>
  <c r="C11" i="3"/>
  <c r="C12" i="3" s="1"/>
  <c r="L7" i="3"/>
  <c r="Z18" i="1"/>
  <c r="AA17" i="1"/>
  <c r="X19" i="1"/>
  <c r="AA19" i="1"/>
  <c r="W19" i="1"/>
  <c r="E7" i="3"/>
  <c r="E9" i="3" s="1"/>
  <c r="E13" i="3" s="1"/>
  <c r="E16" i="3" s="1"/>
  <c r="E18" i="3" s="1"/>
  <c r="C7" i="3"/>
  <c r="C9" i="3" s="1"/>
  <c r="C13" i="3" s="1"/>
  <c r="C16" i="3" s="1"/>
  <c r="C18" i="3" s="1"/>
  <c r="D9" i="3"/>
  <c r="D13" i="3" s="1"/>
  <c r="D16" i="3" s="1"/>
  <c r="D18" i="3" s="1"/>
  <c r="Z21" i="1"/>
  <c r="Z20" i="1"/>
  <c r="Z17" i="1"/>
  <c r="L6" i="5"/>
  <c r="K7" i="5"/>
  <c r="K8" i="5" s="1"/>
  <c r="D7" i="5"/>
  <c r="M7" i="3" l="1"/>
  <c r="M8" i="3" s="1"/>
  <c r="L8" i="3"/>
  <c r="L7" i="5"/>
  <c r="M6" i="5"/>
  <c r="Z19" i="1"/>
  <c r="E7" i="5"/>
  <c r="E9" i="5" s="1"/>
  <c r="E13" i="5" s="1"/>
  <c r="E16" i="5" s="1"/>
  <c r="E18" i="5" s="1"/>
  <c r="E20" i="5" s="1"/>
  <c r="D9" i="5"/>
  <c r="D13" i="5" s="1"/>
  <c r="D16" i="5" s="1"/>
  <c r="D18" i="5" s="1"/>
  <c r="D20" i="5" s="1"/>
  <c r="C7" i="5"/>
  <c r="C9" i="5" s="1"/>
  <c r="C13" i="5" s="1"/>
  <c r="C16" i="5" s="1"/>
  <c r="C18" i="5" s="1"/>
  <c r="C20" i="5" s="1"/>
  <c r="M7" i="5" l="1"/>
  <c r="M8" i="5" s="1"/>
  <c r="L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Big 4 Confidential</author>
  </authors>
  <commentList>
    <comment ref="B15" authorId="0" shapeId="0" xr:uid="{00000000-0006-0000-0200-000001000000}">
      <text>
        <r>
          <rPr>
            <b/>
            <sz val="9"/>
            <color indexed="81"/>
            <rFont val="Calibri"/>
            <family val="2"/>
          </rPr>
          <t>Big 4 Confidential:</t>
        </r>
        <r>
          <rPr>
            <sz val="9"/>
            <color indexed="81"/>
            <rFont val="Calibri"/>
            <family val="2"/>
          </rPr>
          <t xml:space="preserve">
LTM = last twelve months from the valuation date
LFY+1 is last financial year + 1 year, i.e. your first year of forecasts</t>
        </r>
      </text>
    </comment>
    <comment ref="B29" authorId="0" shapeId="0" xr:uid="{00000000-0006-0000-0200-000002000000}">
      <text>
        <r>
          <rPr>
            <b/>
            <sz val="9"/>
            <color indexed="81"/>
            <rFont val="Calibri"/>
            <family val="2"/>
          </rPr>
          <t>Big 4 Confidential:</t>
        </r>
        <r>
          <rPr>
            <sz val="9"/>
            <color indexed="81"/>
            <rFont val="Calibri"/>
            <family val="2"/>
          </rPr>
          <t xml:space="preserve">
WACC for EV multiples, Ke for Price multiples</t>
        </r>
      </text>
    </comment>
  </commentList>
</comments>
</file>

<file path=xl/sharedStrings.xml><?xml version="1.0" encoding="utf-8"?>
<sst xmlns="http://schemas.openxmlformats.org/spreadsheetml/2006/main" count="174" uniqueCount="106">
  <si>
    <t>No.</t>
  </si>
  <si>
    <t>Country</t>
  </si>
  <si>
    <t>Target</t>
  </si>
  <si>
    <t>Target Description</t>
  </si>
  <si>
    <t>Consideration structure</t>
  </si>
  <si>
    <t>Completion date</t>
  </si>
  <si>
    <t>Deal description</t>
  </si>
  <si>
    <t>Revenue</t>
  </si>
  <si>
    <t>Enterprise Value</t>
  </si>
  <si>
    <t>EBITDA</t>
  </si>
  <si>
    <t>EBIT</t>
  </si>
  <si>
    <t>Net income</t>
  </si>
  <si>
    <t>Book value</t>
  </si>
  <si>
    <t>Financials date</t>
  </si>
  <si>
    <t>Currency and units</t>
  </si>
  <si>
    <t>Net debt</t>
  </si>
  <si>
    <t>Pro-rata Equity value</t>
  </si>
  <si>
    <t>100% Equity value</t>
  </si>
  <si>
    <t>Enter a brief description of the business sector and main activities performed by the target company</t>
  </si>
  <si>
    <t>Enter the full business name of the target company</t>
  </si>
  <si>
    <t>Enter the full business name(s) of the bidder(s)</t>
  </si>
  <si>
    <t>Enter the target company's Enterprise value</t>
  </si>
  <si>
    <t>Enter the country in which the target company is headquartered</t>
  </si>
  <si>
    <t>Insert a brief description of the deal including the bidder(s)' name(s), a description of the bidder(s)' main activities, the % stake purchased by the bidder(s) in the target company and the total consideration paid</t>
  </si>
  <si>
    <t>Specify whether the consideration paid by the bidders was cash, equity, a mix of both (entering the respective %), etc.</t>
  </si>
  <si>
    <t>Enter the deal currency and units, e.g. USDm, EURm, etc.</t>
  </si>
  <si>
    <t>Enter the target company's equity value reflective of the % stake purchased (i.e. pro-rata)</t>
  </si>
  <si>
    <t>Enter the target company's net debt, equal to the difference between Enterprise Value and 100% Equity value</t>
  </si>
  <si>
    <t>Bidder(s)</t>
  </si>
  <si>
    <t>Source(s)</t>
  </si>
  <si>
    <t>Enter the revenues reported in the target company's financial statements dated closest to the completion date (not after). If the most recent financial statements are interim (not annual), compute the LTM (last twelve months) revenues based on the target's quarterly or half-year financial reports, if available</t>
  </si>
  <si>
    <t>Enter the EBITDA reported in the target company's financial statements dated closest to the completion date (not after). If the most recent financial statements are interim (not annual), compute the LTM (last twelve months) EBITDA based on the target's quarterly or half-year financial reports, if available</t>
  </si>
  <si>
    <t>Enter the EBIT reported in the target company's financial statements dated closest to the completion date (not after). If the most recent financial statements are interim (not annual), compute the LTM (last twelve months) EBIT based on the target's quarterly or half-year financial reports, if available</t>
  </si>
  <si>
    <t>Enter the Net income/(loss) reported in the target company's financial statements dated closest to the completion date (not after). If the most recent financial statements are interim (not annual), compute the LTM (last twelve months) earnings based on the target's quarterly or half-year financial reports, if available</t>
  </si>
  <si>
    <t>Enter the Book value (total equity) reported in the target company's financial statements dated closest to the completion date (not after)</t>
  </si>
  <si>
    <t>Enter the date on which the deal was concluded (not announced)</t>
  </si>
  <si>
    <t>Enter the date of the most recent financial report considered</t>
  </si>
  <si>
    <t>Control premium</t>
  </si>
  <si>
    <t>1 day prior</t>
  </si>
  <si>
    <t>1 week prior</t>
  </si>
  <si>
    <t>1 month prior</t>
  </si>
  <si>
    <t>Min</t>
  </si>
  <si>
    <t>Average</t>
  </si>
  <si>
    <t>Average without extremes</t>
  </si>
  <si>
    <t>Median</t>
  </si>
  <si>
    <t>Max</t>
  </si>
  <si>
    <t>Precedent transactions analysis - Instructions on how to populate the template</t>
  </si>
  <si>
    <t>Precedent transactions analysis</t>
  </si>
  <si>
    <t>% stake acquired</t>
  </si>
  <si>
    <t>Enter the information found on the deal description</t>
  </si>
  <si>
    <t>Enter the source(s) used to find information on the deal, e.g. Mergermarket, Bloomberg, Zephyr, etc. It is good practice to also add a link to the relevant website/pdf with the deal info, for backup and future reference</t>
  </si>
  <si>
    <t>Pro-rata equity value</t>
  </si>
  <si>
    <t>Less: Minority discount</t>
  </si>
  <si>
    <t>Adjusted pro-rata equity value</t>
  </si>
  <si>
    <t>Low</t>
  </si>
  <si>
    <t>High</t>
  </si>
  <si>
    <t>General inputs</t>
  </si>
  <si>
    <t>Name</t>
  </si>
  <si>
    <t>&lt;&lt; update manually</t>
  </si>
  <si>
    <t>Valuation date</t>
  </si>
  <si>
    <t>USDm</t>
  </si>
  <si>
    <t>&lt;&lt; select from list</t>
  </si>
  <si>
    <t>Selected multiple</t>
  </si>
  <si>
    <t>EV/Revenue multiple</t>
  </si>
  <si>
    <t>EV/EBIT multiple</t>
  </si>
  <si>
    <t>P/E multiple</t>
  </si>
  <si>
    <t>P/BV multiple</t>
  </si>
  <si>
    <t>Selected metric</t>
  </si>
  <si>
    <t>Mid</t>
  </si>
  <si>
    <t>Equity stake to value (%)</t>
  </si>
  <si>
    <t>Valuation range (+/-)</t>
  </si>
  <si>
    <t>Minority discount</t>
  </si>
  <si>
    <t>Equity stake (%)</t>
  </si>
  <si>
    <t>Notes</t>
  </si>
  <si>
    <t>Link to income statement tab</t>
  </si>
  <si>
    <t>Link to balance sheet tab</t>
  </si>
  <si>
    <t>EV/EBITDA multiple</t>
  </si>
  <si>
    <r>
      <t xml:space="preserve">Enter the % stake purchased by the bidder(s) in the target company. 
</t>
    </r>
    <r>
      <rPr>
        <b/>
        <sz val="8"/>
        <rFont val="Verdana"/>
        <family val="2"/>
      </rPr>
      <t>NB:</t>
    </r>
    <r>
      <rPr>
        <sz val="8"/>
        <rFont val="Verdana"/>
        <family val="2"/>
      </rPr>
      <t xml:space="preserve"> only consider acquisitions of majority stakes (&gt;50%)</t>
    </r>
  </si>
  <si>
    <t>Multiple calculation</t>
  </si>
  <si>
    <t>Selected metric date</t>
  </si>
  <si>
    <t>LTM</t>
  </si>
  <si>
    <t>Less: Size discount</t>
  </si>
  <si>
    <t>Size discount</t>
  </si>
  <si>
    <t>Minority stake valuation input</t>
  </si>
  <si>
    <t>Forward earnings valuation inputs</t>
  </si>
  <si>
    <t>Period discounting type</t>
  </si>
  <si>
    <t>Mid-year</t>
  </si>
  <si>
    <t>LFY+1</t>
  </si>
  <si>
    <t>LFY+2</t>
  </si>
  <si>
    <t>LFY+3</t>
  </si>
  <si>
    <t>Date</t>
  </si>
  <si>
    <t>Period factor</t>
  </si>
  <si>
    <t>Discount fator</t>
  </si>
  <si>
    <t>Discount rate</t>
  </si>
  <si>
    <t>Excel template</t>
  </si>
  <si>
    <t>Index</t>
  </si>
  <si>
    <t>Tab name</t>
  </si>
  <si>
    <t>Input</t>
  </si>
  <si>
    <t>Link</t>
  </si>
  <si>
    <t>March 2021</t>
  </si>
  <si>
    <t>Instructions</t>
  </si>
  <si>
    <t>Transactions</t>
  </si>
  <si>
    <t>Valuation</t>
  </si>
  <si>
    <t>Valuation_Minority</t>
  </si>
  <si>
    <t>Company name</t>
  </si>
  <si>
    <t>Precedent transactions analysis and 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</si>
</sst>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_(* #,##0_);_(* \(#,##0\);_(* &quot;-&quot;??_);_(@_)"/>
    <numFmt numFmtId="166" formatCode="0.0\x"/>
    <numFmt numFmtId="167" formatCode="0.0%"/>
    <numFmt numFmtId="168" formatCode="_(* #,##0.0_);_(* \(#,##0.0\);_(* &quot;-&quot;??_);_(@_)"/>
    <numFmt numFmtId="169" formatCode="0.0"/>
  </numFmts>
  <fonts count="28" x14ac:knownFonts="1">
    <font>
      <sz val="11"/>
      <color theme="1"/>
      <name val="Calibri"/>
      <family val="2"/>
      <scheme val="minor"/>
    </font>
    <font>
      <sz val="12"/>
      <color theme="1"/>
      <name val="Calibri"/>
      <family val="2"/>
      <scheme val="minor"/>
    </font>
    <font>
      <sz val="11"/>
      <color theme="1"/>
      <name val="Calibri"/>
      <family val="2"/>
      <scheme val="minor"/>
    </font>
    <font>
      <u/>
      <sz val="11"/>
      <color theme="10"/>
      <name val="Calibri"/>
      <family val="2"/>
      <scheme val="minor"/>
    </font>
    <font>
      <sz val="10"/>
      <name val="Arial"/>
      <family val="2"/>
    </font>
    <font>
      <b/>
      <u val="singleAccounting"/>
      <sz val="8"/>
      <color indexed="8"/>
      <name val="Arial"/>
      <family val="2"/>
    </font>
    <font>
      <sz val="8"/>
      <color indexed="8"/>
      <name val="Arial"/>
      <family val="2"/>
    </font>
    <font>
      <sz val="8"/>
      <name val="Verdana"/>
      <family val="2"/>
    </font>
    <font>
      <sz val="8"/>
      <color rgb="FF000000"/>
      <name val="Verdana"/>
      <family val="2"/>
    </font>
    <font>
      <b/>
      <sz val="8"/>
      <color rgb="FFFFFFFF"/>
      <name val="Verdana"/>
      <family val="2"/>
    </font>
    <font>
      <b/>
      <sz val="8"/>
      <color theme="1"/>
      <name val="Verdana"/>
      <family val="2"/>
    </font>
    <font>
      <b/>
      <sz val="8"/>
      <color indexed="8"/>
      <name val="Verdana"/>
      <family val="2"/>
    </font>
    <font>
      <sz val="8"/>
      <color indexed="8"/>
      <name val="Verdana"/>
      <family val="2"/>
    </font>
    <font>
      <sz val="8"/>
      <color theme="1"/>
      <name val="Calibri"/>
      <family val="2"/>
      <scheme val="minor"/>
    </font>
    <font>
      <u/>
      <sz val="11"/>
      <color theme="11"/>
      <name val="Calibri"/>
      <family val="2"/>
      <scheme val="minor"/>
    </font>
    <font>
      <b/>
      <sz val="8"/>
      <color theme="1"/>
      <name val="Calibri"/>
      <family val="2"/>
      <scheme val="minor"/>
    </font>
    <font>
      <sz val="8"/>
      <name val="Calibri"/>
      <family val="2"/>
      <scheme val="minor"/>
    </font>
    <font>
      <b/>
      <sz val="8"/>
      <name val="Verdana"/>
      <family val="2"/>
    </font>
    <font>
      <b/>
      <sz val="8"/>
      <color theme="0"/>
      <name val="Verdana"/>
      <family val="2"/>
    </font>
    <font>
      <sz val="8"/>
      <color theme="1"/>
      <name val="Verdana"/>
      <family val="2"/>
    </font>
    <font>
      <sz val="8"/>
      <color rgb="FFC00000"/>
      <name val="Verdana"/>
      <family val="2"/>
    </font>
    <font>
      <sz val="9"/>
      <color indexed="81"/>
      <name val="Calibri"/>
      <family val="2"/>
    </font>
    <font>
      <b/>
      <sz val="9"/>
      <color indexed="81"/>
      <name val="Calibri"/>
      <family val="2"/>
    </font>
    <font>
      <b/>
      <sz val="16"/>
      <color theme="1"/>
      <name val="Verdana"/>
      <family val="2"/>
    </font>
    <font>
      <b/>
      <sz val="11"/>
      <color theme="1"/>
      <name val="Verdana"/>
      <family val="2"/>
    </font>
    <font>
      <u/>
      <sz val="12"/>
      <color theme="10"/>
      <name val="Calibri"/>
      <family val="2"/>
      <scheme val="minor"/>
    </font>
    <font>
      <u/>
      <sz val="8"/>
      <color theme="10"/>
      <name val="Verdana"/>
      <family val="2"/>
    </font>
    <font>
      <sz val="12"/>
      <color theme="1"/>
      <name val="Verdana"/>
      <family val="2"/>
    </font>
  </fonts>
  <fills count="5">
    <fill>
      <patternFill patternType="none"/>
    </fill>
    <fill>
      <patternFill patternType="gray125"/>
    </fill>
    <fill>
      <patternFill patternType="solid">
        <fgColor indexed="60"/>
        <bgColor indexed="64"/>
      </patternFill>
    </fill>
    <fill>
      <patternFill patternType="solid">
        <fgColor theme="0" tint="-4.9989318521683403E-2"/>
        <bgColor indexed="64"/>
      </patternFill>
    </fill>
    <fill>
      <patternFill patternType="solid">
        <fgColor theme="1"/>
        <bgColor indexed="64"/>
      </patternFill>
    </fill>
  </fills>
  <borders count="2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rgb="FF00338D"/>
      </right>
      <top style="thin">
        <color auto="1"/>
      </top>
      <bottom style="thin">
        <color auto="1"/>
      </bottom>
      <diagonal/>
    </border>
    <border>
      <left/>
      <right style="thin">
        <color rgb="FF00338D"/>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3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2" fillId="0" borderId="0"/>
    <xf numFmtId="43" fontId="4" fillId="0" borderId="0" applyFont="0" applyFill="0" applyBorder="0" applyAlignment="0" applyProtection="0"/>
    <xf numFmtId="9" fontId="2" fillId="0" borderId="0" applyFont="0" applyFill="0" applyBorder="0" applyAlignment="0" applyProtection="0"/>
    <xf numFmtId="0" fontId="5" fillId="2" borderId="0" applyAlignment="0"/>
    <xf numFmtId="0" fontId="6" fillId="0" borderId="0" applyAlignment="0"/>
    <xf numFmtId="9" fontId="4" fillId="0" borderId="0" applyFont="0" applyFill="0" applyBorder="0" applyAlignment="0" applyProtection="0"/>
    <xf numFmtId="164" fontId="2" fillId="0" borderId="0" applyFon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1" fillId="0" borderId="0"/>
    <xf numFmtId="0" fontId="25" fillId="0" borderId="0" applyNumberFormat="0" applyFill="0" applyBorder="0" applyAlignment="0" applyProtection="0"/>
  </cellStyleXfs>
  <cellXfs count="143">
    <xf numFmtId="0" fontId="0" fillId="0" borderId="0" xfId="0"/>
    <xf numFmtId="0" fontId="7" fillId="0" borderId="0" xfId="0" applyFont="1"/>
    <xf numFmtId="0" fontId="7" fillId="0" borderId="0" xfId="0" applyFont="1" applyAlignment="1">
      <alignment wrapText="1"/>
    </xf>
    <xf numFmtId="0" fontId="7" fillId="0" borderId="0" xfId="0" applyFont="1" applyAlignment="1">
      <alignment vertical="center"/>
    </xf>
    <xf numFmtId="0" fontId="7" fillId="0" borderId="0" xfId="3" applyFont="1"/>
    <xf numFmtId="0" fontId="8" fillId="0" borderId="0" xfId="3" applyFont="1"/>
    <xf numFmtId="0" fontId="13" fillId="0" borderId="0" xfId="0" applyFont="1"/>
    <xf numFmtId="0" fontId="9" fillId="4" borderId="7" xfId="3" applyFont="1" applyFill="1" applyBorder="1" applyAlignment="1">
      <alignment horizontal="left" vertical="center"/>
    </xf>
    <xf numFmtId="0" fontId="9" fillId="4" borderId="2" xfId="3" applyFont="1" applyFill="1" applyBorder="1" applyAlignment="1">
      <alignment horizontal="left" vertical="center"/>
    </xf>
    <xf numFmtId="0" fontId="9" fillId="4" borderId="2" xfId="3" applyFont="1" applyFill="1" applyBorder="1" applyAlignment="1">
      <alignment horizontal="left" vertical="center" wrapText="1"/>
    </xf>
    <xf numFmtId="0" fontId="9" fillId="4" borderId="8" xfId="3" applyFont="1" applyFill="1" applyBorder="1" applyAlignment="1">
      <alignment horizontal="left" vertical="center"/>
    </xf>
    <xf numFmtId="0" fontId="9" fillId="4" borderId="3" xfId="3" applyFont="1" applyFill="1" applyBorder="1" applyAlignment="1">
      <alignment horizontal="left" vertical="center"/>
    </xf>
    <xf numFmtId="0" fontId="7" fillId="0" borderId="0" xfId="3" applyFont="1" applyAlignment="1">
      <alignment horizontal="left" vertical="top"/>
    </xf>
    <xf numFmtId="15" fontId="12" fillId="0" borderId="4" xfId="7" applyNumberFormat="1" applyFont="1" applyBorder="1" applyAlignment="1">
      <alignment horizontal="left" vertical="top" wrapText="1"/>
    </xf>
    <xf numFmtId="0" fontId="7" fillId="0" borderId="5" xfId="3" applyFont="1" applyBorder="1" applyAlignment="1">
      <alignment horizontal="left" vertical="top" wrapText="1"/>
    </xf>
    <xf numFmtId="0" fontId="12" fillId="0" borderId="5" xfId="7" applyFont="1" applyBorder="1" applyAlignment="1">
      <alignment horizontal="left" vertical="top" wrapText="1"/>
    </xf>
    <xf numFmtId="9" fontId="7" fillId="0" borderId="5" xfId="5" applyFont="1" applyBorder="1" applyAlignment="1">
      <alignment horizontal="left" vertical="top" wrapText="1"/>
    </xf>
    <xf numFmtId="9" fontId="7" fillId="0" borderId="5" xfId="8" applyFont="1" applyBorder="1" applyAlignment="1">
      <alignment horizontal="left" vertical="top" wrapText="1"/>
    </xf>
    <xf numFmtId="0" fontId="7" fillId="0" borderId="5" xfId="9" applyNumberFormat="1" applyFont="1" applyBorder="1" applyAlignment="1">
      <alignment horizontal="left" vertical="top" wrapText="1"/>
    </xf>
    <xf numFmtId="166" fontId="7" fillId="0" borderId="6" xfId="3" applyNumberFormat="1" applyFont="1" applyBorder="1" applyAlignment="1">
      <alignment horizontal="left" vertical="top" wrapText="1"/>
    </xf>
    <xf numFmtId="0" fontId="7" fillId="0" borderId="9" xfId="3" applyFont="1" applyBorder="1" applyAlignment="1">
      <alignment horizontal="center" vertical="center"/>
    </xf>
    <xf numFmtId="15" fontId="12" fillId="0" borderId="10" xfId="7" applyNumberFormat="1" applyFont="1" applyBorder="1" applyAlignment="1">
      <alignment horizontal="left" vertical="center" wrapText="1"/>
    </xf>
    <xf numFmtId="0" fontId="7" fillId="0" borderId="10" xfId="3" applyFont="1" applyBorder="1" applyAlignment="1">
      <alignment horizontal="left" vertical="center" wrapText="1"/>
    </xf>
    <xf numFmtId="0" fontId="12" fillId="0" borderId="10" xfId="7" applyFont="1" applyBorder="1" applyAlignment="1">
      <alignment horizontal="left" vertical="center" wrapText="1"/>
    </xf>
    <xf numFmtId="0" fontId="7" fillId="0" borderId="10" xfId="3" applyFont="1" applyBorder="1" applyAlignment="1">
      <alignment vertical="center" wrapText="1"/>
    </xf>
    <xf numFmtId="9" fontId="7" fillId="0" borderId="10" xfId="5" applyFont="1" applyBorder="1" applyAlignment="1">
      <alignment horizontal="right" vertical="center" wrapText="1"/>
    </xf>
    <xf numFmtId="9" fontId="7" fillId="0" borderId="10" xfId="8" applyFont="1" applyBorder="1" applyAlignment="1">
      <alignment horizontal="right" vertical="center" wrapText="1"/>
    </xf>
    <xf numFmtId="165" fontId="7" fillId="0" borderId="10" xfId="9" applyNumberFormat="1" applyFont="1" applyBorder="1" applyAlignment="1">
      <alignment horizontal="right" vertical="center" wrapText="1"/>
    </xf>
    <xf numFmtId="166" fontId="7" fillId="0" borderId="10" xfId="3" applyNumberFormat="1" applyFont="1" applyBorder="1" applyAlignment="1">
      <alignment horizontal="right" vertical="center" wrapText="1"/>
    </xf>
    <xf numFmtId="166" fontId="7" fillId="0" borderId="11" xfId="3" applyNumberFormat="1" applyFont="1" applyBorder="1" applyAlignment="1">
      <alignment horizontal="right" vertical="center" wrapText="1"/>
    </xf>
    <xf numFmtId="0" fontId="7" fillId="3" borderId="12" xfId="3" applyFont="1" applyFill="1" applyBorder="1" applyAlignment="1">
      <alignment horizontal="center" vertical="center"/>
    </xf>
    <xf numFmtId="15" fontId="12" fillId="3" borderId="0" xfId="7" applyNumberFormat="1" applyFont="1" applyFill="1" applyBorder="1" applyAlignment="1">
      <alignment horizontal="left" vertical="center"/>
    </xf>
    <xf numFmtId="0" fontId="7" fillId="3" borderId="0" xfId="3" applyFont="1" applyFill="1" applyBorder="1" applyAlignment="1">
      <alignment horizontal="left" vertical="center" wrapText="1"/>
    </xf>
    <xf numFmtId="0" fontId="12" fillId="3" borderId="0" xfId="7" applyFont="1" applyFill="1" applyBorder="1" applyAlignment="1">
      <alignment horizontal="left" vertical="center" wrapText="1"/>
    </xf>
    <xf numFmtId="0" fontId="7" fillId="3" borderId="0" xfId="3" applyFont="1" applyFill="1" applyBorder="1" applyAlignment="1">
      <alignment vertical="center" wrapText="1"/>
    </xf>
    <xf numFmtId="9" fontId="7" fillId="3" borderId="0" xfId="5" applyFont="1" applyFill="1" applyBorder="1" applyAlignment="1">
      <alignment horizontal="right" vertical="center" wrapText="1"/>
    </xf>
    <xf numFmtId="9" fontId="7" fillId="3" borderId="0" xfId="8" applyFont="1" applyFill="1" applyBorder="1" applyAlignment="1">
      <alignment horizontal="right" vertical="center" wrapText="1"/>
    </xf>
    <xf numFmtId="165" fontId="7" fillId="3" borderId="0" xfId="9" applyNumberFormat="1" applyFont="1" applyFill="1" applyBorder="1" applyAlignment="1">
      <alignment horizontal="right" vertical="center" wrapText="1"/>
    </xf>
    <xf numFmtId="166" fontId="7" fillId="3" borderId="0" xfId="3" applyNumberFormat="1" applyFont="1" applyFill="1" applyBorder="1" applyAlignment="1">
      <alignment horizontal="right" vertical="center" wrapText="1"/>
    </xf>
    <xf numFmtId="166" fontId="7" fillId="3" borderId="13" xfId="3" applyNumberFormat="1" applyFont="1" applyFill="1" applyBorder="1" applyAlignment="1">
      <alignment horizontal="right" vertical="center" wrapText="1"/>
    </xf>
    <xf numFmtId="0" fontId="7" fillId="0" borderId="12" xfId="3" applyFont="1" applyBorder="1" applyAlignment="1">
      <alignment horizontal="center" vertical="center"/>
    </xf>
    <xf numFmtId="15" fontId="12" fillId="0" borderId="0" xfId="7" applyNumberFormat="1" applyFont="1" applyBorder="1" applyAlignment="1">
      <alignment horizontal="left" vertical="center"/>
    </xf>
    <xf numFmtId="0" fontId="7" fillId="0" borderId="0" xfId="3" applyFont="1" applyBorder="1" applyAlignment="1">
      <alignment horizontal="left" vertical="center" wrapText="1"/>
    </xf>
    <xf numFmtId="0" fontId="12" fillId="0" borderId="0" xfId="7" applyFont="1" applyBorder="1" applyAlignment="1">
      <alignment horizontal="left" vertical="center" wrapText="1"/>
    </xf>
    <xf numFmtId="0" fontId="7" fillId="0" borderId="0" xfId="3" applyFont="1" applyBorder="1" applyAlignment="1">
      <alignment vertical="center" wrapText="1"/>
    </xf>
    <xf numFmtId="9" fontId="7" fillId="0" borderId="0" xfId="5" applyFont="1" applyBorder="1" applyAlignment="1">
      <alignment horizontal="right" vertical="center" wrapText="1"/>
    </xf>
    <xf numFmtId="9" fontId="7" fillId="0" borderId="0" xfId="8" applyFont="1" applyBorder="1" applyAlignment="1">
      <alignment horizontal="right" vertical="center" wrapText="1"/>
    </xf>
    <xf numFmtId="165" fontId="7" fillId="0" borderId="0" xfId="9" applyNumberFormat="1" applyFont="1" applyBorder="1" applyAlignment="1">
      <alignment horizontal="right" vertical="center" wrapText="1"/>
    </xf>
    <xf numFmtId="166" fontId="7" fillId="0" borderId="0" xfId="3" applyNumberFormat="1" applyFont="1" applyBorder="1" applyAlignment="1">
      <alignment horizontal="right" vertical="center" wrapText="1"/>
    </xf>
    <xf numFmtId="166" fontId="7" fillId="0" borderId="13" xfId="3" applyNumberFormat="1" applyFont="1" applyBorder="1" applyAlignment="1">
      <alignment horizontal="right" vertical="center" wrapText="1"/>
    </xf>
    <xf numFmtId="0" fontId="7" fillId="3" borderId="14" xfId="3" applyFont="1" applyFill="1" applyBorder="1" applyAlignment="1">
      <alignment horizontal="center" vertical="center"/>
    </xf>
    <xf numFmtId="15" fontId="12" fillId="3" borderId="15" xfId="7" applyNumberFormat="1" applyFont="1" applyFill="1" applyBorder="1" applyAlignment="1">
      <alignment horizontal="left" vertical="center"/>
    </xf>
    <xf numFmtId="0" fontId="7" fillId="3" borderId="15" xfId="3" applyFont="1" applyFill="1" applyBorder="1" applyAlignment="1">
      <alignment horizontal="left" vertical="center" wrapText="1"/>
    </xf>
    <xf numFmtId="0" fontId="12" fillId="3" borderId="15" xfId="7" applyFont="1" applyFill="1" applyBorder="1" applyAlignment="1">
      <alignment horizontal="left" vertical="center" wrapText="1"/>
    </xf>
    <xf numFmtId="0" fontId="7" fillId="3" borderId="15" xfId="3" applyFont="1" applyFill="1" applyBorder="1" applyAlignment="1">
      <alignment vertical="center" wrapText="1"/>
    </xf>
    <xf numFmtId="9" fontId="7" fillId="3" borderId="15" xfId="5" applyFont="1" applyFill="1" applyBorder="1" applyAlignment="1">
      <alignment horizontal="right" vertical="center" wrapText="1"/>
    </xf>
    <xf numFmtId="9" fontId="7" fillId="3" borderId="15" xfId="8" applyFont="1" applyFill="1" applyBorder="1" applyAlignment="1">
      <alignment horizontal="right" vertical="center" wrapText="1"/>
    </xf>
    <xf numFmtId="165" fontId="7" fillId="3" borderId="15" xfId="9" applyNumberFormat="1" applyFont="1" applyFill="1" applyBorder="1" applyAlignment="1">
      <alignment horizontal="right" vertical="center" wrapText="1"/>
    </xf>
    <xf numFmtId="166" fontId="7" fillId="3" borderId="15" xfId="3" applyNumberFormat="1" applyFont="1" applyFill="1" applyBorder="1" applyAlignment="1">
      <alignment horizontal="right" vertical="center" wrapText="1"/>
    </xf>
    <xf numFmtId="166" fontId="7" fillId="3" borderId="16" xfId="3" applyNumberFormat="1" applyFont="1" applyFill="1" applyBorder="1" applyAlignment="1">
      <alignment horizontal="right" vertical="center" wrapText="1"/>
    </xf>
    <xf numFmtId="0" fontId="9" fillId="4" borderId="3" xfId="3" applyFont="1" applyFill="1" applyBorder="1" applyAlignment="1">
      <alignment horizontal="centerContinuous" vertical="center"/>
    </xf>
    <xf numFmtId="0" fontId="13" fillId="0" borderId="12" xfId="0" applyFont="1" applyBorder="1"/>
    <xf numFmtId="0" fontId="13" fillId="0" borderId="0" xfId="0" applyFont="1" applyBorder="1"/>
    <xf numFmtId="0" fontId="13" fillId="0" borderId="17" xfId="0" applyFont="1" applyBorder="1"/>
    <xf numFmtId="0" fontId="13" fillId="0" borderId="18" xfId="0" applyFont="1" applyBorder="1"/>
    <xf numFmtId="0" fontId="13" fillId="0" borderId="14" xfId="0" applyFont="1" applyBorder="1"/>
    <xf numFmtId="0" fontId="13" fillId="0" borderId="15" xfId="0" applyFont="1" applyBorder="1"/>
    <xf numFmtId="0" fontId="15" fillId="0" borderId="12" xfId="0" applyFont="1" applyBorder="1"/>
    <xf numFmtId="166" fontId="13" fillId="0" borderId="18" xfId="0" applyNumberFormat="1" applyFont="1" applyBorder="1" applyAlignment="1">
      <alignment horizontal="right"/>
    </xf>
    <xf numFmtId="166" fontId="13" fillId="0" borderId="0" xfId="0" applyNumberFormat="1" applyFont="1" applyBorder="1" applyAlignment="1">
      <alignment horizontal="right"/>
    </xf>
    <xf numFmtId="166" fontId="15" fillId="0" borderId="0" xfId="0" applyNumberFormat="1" applyFont="1" applyBorder="1" applyAlignment="1">
      <alignment horizontal="right"/>
    </xf>
    <xf numFmtId="166" fontId="13" fillId="0" borderId="15" xfId="0" applyNumberFormat="1" applyFont="1" applyBorder="1" applyAlignment="1">
      <alignment horizontal="right"/>
    </xf>
    <xf numFmtId="166" fontId="13" fillId="0" borderId="19" xfId="0" applyNumberFormat="1" applyFont="1" applyBorder="1" applyAlignment="1">
      <alignment horizontal="right"/>
    </xf>
    <xf numFmtId="166" fontId="13" fillId="0" borderId="13" xfId="0" applyNumberFormat="1" applyFont="1" applyBorder="1" applyAlignment="1">
      <alignment horizontal="right"/>
    </xf>
    <xf numFmtId="166" fontId="15" fillId="0" borderId="13" xfId="0" applyNumberFormat="1" applyFont="1" applyBorder="1" applyAlignment="1">
      <alignment horizontal="right"/>
    </xf>
    <xf numFmtId="166" fontId="13" fillId="0" borderId="16" xfId="0" applyNumberFormat="1" applyFont="1" applyBorder="1" applyAlignment="1">
      <alignment horizontal="right"/>
    </xf>
    <xf numFmtId="0" fontId="7" fillId="0" borderId="0" xfId="3" applyFont="1" applyAlignment="1">
      <alignment horizontal="center" vertical="center" wrapText="1"/>
    </xf>
    <xf numFmtId="0" fontId="10" fillId="0" borderId="1" xfId="3" applyFont="1" applyBorder="1" applyAlignment="1">
      <alignment horizontal="center" vertical="center" wrapText="1"/>
    </xf>
    <xf numFmtId="0" fontId="10" fillId="0" borderId="2" xfId="6" applyFont="1" applyFill="1" applyBorder="1" applyAlignment="1">
      <alignment horizontal="center" vertical="center" wrapText="1"/>
    </xf>
    <xf numFmtId="0" fontId="10" fillId="0" borderId="2" xfId="3" applyFont="1" applyBorder="1" applyAlignment="1">
      <alignment horizontal="center" vertical="center" wrapText="1"/>
    </xf>
    <xf numFmtId="0" fontId="11" fillId="0" borderId="2" xfId="6" applyFont="1" applyFill="1" applyBorder="1" applyAlignment="1">
      <alignment horizontal="center" vertical="center" wrapText="1"/>
    </xf>
    <xf numFmtId="0" fontId="10" fillId="0" borderId="3" xfId="6" applyFont="1" applyFill="1" applyBorder="1" applyAlignment="1">
      <alignment horizontal="center" vertical="center" wrapText="1"/>
    </xf>
    <xf numFmtId="0" fontId="10" fillId="0" borderId="1" xfId="6" applyFont="1" applyFill="1" applyBorder="1" applyAlignment="1">
      <alignment horizontal="center" vertical="center" wrapText="1"/>
    </xf>
    <xf numFmtId="15" fontId="12" fillId="0" borderId="5" xfId="7" applyNumberFormat="1" applyFont="1" applyBorder="1" applyAlignment="1">
      <alignment horizontal="left" vertical="top" wrapText="1"/>
    </xf>
    <xf numFmtId="15" fontId="12" fillId="0" borderId="6" xfId="7" applyNumberFormat="1" applyFont="1" applyBorder="1" applyAlignment="1">
      <alignment horizontal="left" vertical="top" wrapText="1"/>
    </xf>
    <xf numFmtId="0" fontId="7" fillId="0" borderId="9" xfId="3" applyFont="1" applyBorder="1" applyAlignment="1">
      <alignment horizontal="left" vertical="center"/>
    </xf>
    <xf numFmtId="0" fontId="9" fillId="4" borderId="3" xfId="3" applyFont="1" applyFill="1" applyBorder="1" applyAlignment="1">
      <alignment horizontal="left" vertical="center" wrapText="1"/>
    </xf>
    <xf numFmtId="0" fontId="10" fillId="0" borderId="3" xfId="3" applyFont="1" applyBorder="1" applyAlignment="1">
      <alignment horizontal="center" vertical="center" wrapText="1"/>
    </xf>
    <xf numFmtId="0" fontId="18" fillId="4" borderId="0" xfId="0" applyFont="1" applyFill="1" applyAlignment="1">
      <alignment vertical="center"/>
    </xf>
    <xf numFmtId="0" fontId="19" fillId="4" borderId="0" xfId="0" applyFont="1" applyFill="1" applyAlignment="1">
      <alignment vertical="center"/>
    </xf>
    <xf numFmtId="0" fontId="19" fillId="0" borderId="0" xfId="0" applyFont="1" applyAlignment="1">
      <alignment vertical="center"/>
    </xf>
    <xf numFmtId="0" fontId="20" fillId="0" borderId="0" xfId="0" applyFont="1" applyAlignment="1">
      <alignment vertical="center"/>
    </xf>
    <xf numFmtId="0" fontId="10" fillId="0" borderId="1" xfId="3" applyFont="1" applyBorder="1" applyAlignment="1">
      <alignment horizontal="left" vertical="center" wrapText="1"/>
    </xf>
    <xf numFmtId="0" fontId="19" fillId="0" borderId="0" xfId="0" applyFont="1"/>
    <xf numFmtId="166" fontId="12" fillId="0" borderId="10" xfId="56" applyNumberFormat="1" applyFont="1" applyBorder="1" applyAlignment="1">
      <alignment horizontal="right" vertical="center" wrapText="1"/>
    </xf>
    <xf numFmtId="0" fontId="7" fillId="0" borderId="12" xfId="3" applyFont="1" applyFill="1" applyBorder="1" applyAlignment="1">
      <alignment horizontal="left" vertical="center"/>
    </xf>
    <xf numFmtId="0" fontId="17" fillId="0" borderId="9" xfId="3" applyFont="1" applyFill="1" applyBorder="1" applyAlignment="1">
      <alignment horizontal="left" vertical="center"/>
    </xf>
    <xf numFmtId="167" fontId="12" fillId="0" borderId="0" xfId="57" applyNumberFormat="1" applyFont="1" applyFill="1" applyBorder="1" applyAlignment="1">
      <alignment horizontal="right" vertical="center"/>
    </xf>
    <xf numFmtId="167" fontId="7" fillId="0" borderId="13" xfId="3" applyNumberFormat="1" applyFont="1" applyFill="1" applyBorder="1" applyAlignment="1">
      <alignment horizontal="right" vertical="center" wrapText="1"/>
    </xf>
    <xf numFmtId="167" fontId="12" fillId="0" borderId="0" xfId="7" applyNumberFormat="1" applyFont="1" applyFill="1" applyBorder="1" applyAlignment="1">
      <alignment horizontal="right" vertical="center"/>
    </xf>
    <xf numFmtId="167" fontId="7" fillId="0" borderId="13" xfId="57" applyNumberFormat="1" applyFont="1" applyFill="1" applyBorder="1" applyAlignment="1">
      <alignment horizontal="right" vertical="center" wrapText="1"/>
    </xf>
    <xf numFmtId="0" fontId="17" fillId="0" borderId="4" xfId="3" applyFont="1" applyFill="1" applyBorder="1" applyAlignment="1">
      <alignment horizontal="left" vertical="center"/>
    </xf>
    <xf numFmtId="0" fontId="9" fillId="4" borderId="3" xfId="0" applyFont="1" applyFill="1" applyBorder="1" applyAlignment="1">
      <alignment horizontal="left" vertical="center"/>
    </xf>
    <xf numFmtId="0" fontId="7" fillId="3" borderId="0" xfId="0" applyFont="1" applyFill="1" applyAlignment="1">
      <alignment vertical="center"/>
    </xf>
    <xf numFmtId="168" fontId="12" fillId="0" borderId="0" xfId="56" applyNumberFormat="1" applyFont="1" applyFill="1" applyBorder="1" applyAlignment="1">
      <alignment horizontal="right" vertical="center"/>
    </xf>
    <xf numFmtId="168" fontId="12" fillId="3" borderId="0" xfId="56" applyNumberFormat="1" applyFont="1" applyFill="1" applyBorder="1" applyAlignment="1">
      <alignment horizontal="right" vertical="center"/>
    </xf>
    <xf numFmtId="168" fontId="7" fillId="0" borderId="13" xfId="56" applyNumberFormat="1" applyFont="1" applyFill="1" applyBorder="1" applyAlignment="1">
      <alignment horizontal="right" vertical="center" wrapText="1"/>
    </xf>
    <xf numFmtId="168" fontId="11" fillId="0" borderId="10" xfId="56" applyNumberFormat="1" applyFont="1" applyFill="1" applyBorder="1" applyAlignment="1">
      <alignment horizontal="right" vertical="center"/>
    </xf>
    <xf numFmtId="168" fontId="17" fillId="0" borderId="11" xfId="56" applyNumberFormat="1" applyFont="1" applyFill="1" applyBorder="1" applyAlignment="1">
      <alignment horizontal="right" vertical="center" wrapText="1"/>
    </xf>
    <xf numFmtId="168" fontId="11" fillId="0" borderId="5" xfId="56" applyNumberFormat="1" applyFont="1" applyFill="1" applyBorder="1" applyAlignment="1">
      <alignment horizontal="right" vertical="center"/>
    </xf>
    <xf numFmtId="168" fontId="17" fillId="0" borderId="6" xfId="56" applyNumberFormat="1" applyFont="1" applyFill="1" applyBorder="1" applyAlignment="1">
      <alignment horizontal="right" vertical="center" wrapText="1"/>
    </xf>
    <xf numFmtId="166" fontId="19" fillId="0" borderId="0" xfId="56" applyNumberFormat="1" applyFont="1"/>
    <xf numFmtId="0" fontId="7" fillId="0" borderId="12" xfId="3" applyFont="1" applyBorder="1" applyAlignment="1">
      <alignment horizontal="left" vertical="center"/>
    </xf>
    <xf numFmtId="167" fontId="12" fillId="0" borderId="0" xfId="57" applyNumberFormat="1" applyFont="1" applyBorder="1" applyAlignment="1">
      <alignment horizontal="right" vertical="center" wrapText="1"/>
    </xf>
    <xf numFmtId="167" fontId="19" fillId="0" borderId="0" xfId="57" applyNumberFormat="1" applyFont="1"/>
    <xf numFmtId="167" fontId="7" fillId="0" borderId="13" xfId="57" applyNumberFormat="1" applyFont="1" applyBorder="1" applyAlignment="1">
      <alignment horizontal="right" vertical="center" wrapText="1"/>
    </xf>
    <xf numFmtId="0" fontId="9" fillId="4" borderId="3" xfId="0" applyFont="1" applyFill="1" applyBorder="1" applyAlignment="1">
      <alignment horizontal="center" vertical="center"/>
    </xf>
    <xf numFmtId="166" fontId="11" fillId="0" borderId="10" xfId="56" applyNumberFormat="1" applyFont="1" applyFill="1" applyBorder="1" applyAlignment="1">
      <alignment horizontal="right" vertical="center"/>
    </xf>
    <xf numFmtId="166" fontId="17" fillId="0" borderId="11" xfId="56" applyNumberFormat="1" applyFont="1" applyFill="1" applyBorder="1" applyAlignment="1">
      <alignment horizontal="right" vertical="center" wrapText="1"/>
    </xf>
    <xf numFmtId="164" fontId="12" fillId="0" borderId="0" xfId="56" applyNumberFormat="1" applyFont="1" applyFill="1" applyBorder="1" applyAlignment="1">
      <alignment horizontal="right" vertical="center"/>
    </xf>
    <xf numFmtId="164" fontId="7" fillId="0" borderId="13" xfId="56" applyNumberFormat="1" applyFont="1" applyFill="1" applyBorder="1" applyAlignment="1">
      <alignment horizontal="right" vertical="center" wrapText="1"/>
    </xf>
    <xf numFmtId="0" fontId="17" fillId="0" borderId="1" xfId="3" applyFont="1" applyFill="1" applyBorder="1" applyAlignment="1">
      <alignment horizontal="left" vertical="center"/>
    </xf>
    <xf numFmtId="168" fontId="11" fillId="0" borderId="2" xfId="56" applyNumberFormat="1" applyFont="1" applyFill="1" applyBorder="1" applyAlignment="1">
      <alignment horizontal="right" vertical="center"/>
    </xf>
    <xf numFmtId="168" fontId="17" fillId="0" borderId="3" xfId="56" applyNumberFormat="1" applyFont="1" applyFill="1" applyBorder="1" applyAlignment="1">
      <alignment horizontal="right" vertical="center" wrapText="1"/>
    </xf>
    <xf numFmtId="14" fontId="19" fillId="0" borderId="0" xfId="0" applyNumberFormat="1" applyFont="1"/>
    <xf numFmtId="169" fontId="19" fillId="0" borderId="0" xfId="0" applyNumberFormat="1" applyFont="1"/>
    <xf numFmtId="43" fontId="19" fillId="0" borderId="0" xfId="56" applyNumberFormat="1" applyFont="1"/>
    <xf numFmtId="0" fontId="19" fillId="0" borderId="0" xfId="0" applyFont="1" applyAlignment="1">
      <alignment horizontal="left"/>
    </xf>
    <xf numFmtId="0" fontId="23" fillId="0" borderId="0" xfId="230" applyFont="1" applyAlignment="1">
      <alignment vertical="center"/>
    </xf>
    <xf numFmtId="0" fontId="19" fillId="0" borderId="0" xfId="230" applyFont="1" applyAlignment="1">
      <alignment vertical="center"/>
    </xf>
    <xf numFmtId="0" fontId="24" fillId="0" borderId="0" xfId="230" applyFont="1" applyAlignment="1">
      <alignment vertical="center"/>
    </xf>
    <xf numFmtId="49" fontId="19" fillId="0" borderId="0" xfId="230" applyNumberFormat="1" applyFont="1" applyAlignment="1">
      <alignment horizontal="left" vertical="center"/>
    </xf>
    <xf numFmtId="0" fontId="26" fillId="0" borderId="0" xfId="231" applyFont="1" applyFill="1"/>
    <xf numFmtId="0" fontId="19" fillId="0" borderId="0" xfId="230" applyFont="1"/>
    <xf numFmtId="0" fontId="27" fillId="0" borderId="20" xfId="2" applyFont="1" applyBorder="1" applyAlignment="1">
      <alignment horizontal="left"/>
    </xf>
    <xf numFmtId="0" fontId="27" fillId="0" borderId="20" xfId="230" applyFont="1" applyBorder="1"/>
    <xf numFmtId="0" fontId="19" fillId="0" borderId="0" xfId="230" applyFont="1" applyAlignment="1">
      <alignment horizontal="center" vertical="center"/>
    </xf>
    <xf numFmtId="0" fontId="18" fillId="4" borderId="0" xfId="230" applyFont="1" applyFill="1" applyAlignment="1">
      <alignment vertical="center"/>
    </xf>
    <xf numFmtId="0" fontId="26" fillId="0" borderId="0" xfId="231" applyFont="1" applyAlignment="1">
      <alignment horizontal="right"/>
    </xf>
    <xf numFmtId="0" fontId="19" fillId="3" borderId="21" xfId="0" applyFont="1" applyFill="1" applyBorder="1" applyAlignment="1">
      <alignment vertical="center"/>
    </xf>
    <xf numFmtId="14" fontId="19" fillId="3" borderId="21" xfId="0" applyNumberFormat="1" applyFont="1" applyFill="1" applyBorder="1" applyAlignment="1">
      <alignment vertical="center"/>
    </xf>
    <xf numFmtId="0" fontId="19" fillId="3" borderId="21" xfId="0" applyNumberFormat="1" applyFont="1" applyFill="1" applyBorder="1" applyAlignment="1">
      <alignment vertical="center"/>
    </xf>
    <xf numFmtId="167" fontId="19" fillId="3" borderId="21" xfId="0" applyNumberFormat="1" applyFont="1" applyFill="1" applyBorder="1" applyAlignment="1">
      <alignment vertical="center"/>
    </xf>
  </cellXfs>
  <cellStyles count="232">
    <cellStyle name="ColumnHeaderNormal" xfId="6" xr:uid="{00000000-0005-0000-0000-000000000000}"/>
    <cellStyle name="Comma" xfId="56" builtinId="3"/>
    <cellStyle name="Comma 10 2" xfId="4" xr:uid="{00000000-0005-0000-0000-000002000000}"/>
    <cellStyle name="Comma 2" xfId="9" xr:uid="{00000000-0005-0000-0000-000003000000}"/>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2" xfId="1" xr:uid="{00000000-0005-0000-0000-0000DE000000}"/>
    <cellStyle name="Hyperlink 3" xfId="231" xr:uid="{24977602-6037-C348-AADF-BF596E9085A1}"/>
    <cellStyle name="Normal" xfId="0" builtinId="0"/>
    <cellStyle name="Normal 16" xfId="3" xr:uid="{00000000-0005-0000-0000-0000E0000000}"/>
    <cellStyle name="Normal 2" xfId="230" xr:uid="{3A23635B-421A-FC46-A361-A8156352D0A0}"/>
    <cellStyle name="Normal 20 2" xfId="2" xr:uid="{00000000-0005-0000-0000-0000E1000000}"/>
    <cellStyle name="Per cent" xfId="57" builtinId="5"/>
    <cellStyle name="Percent 13 2" xfId="8" xr:uid="{00000000-0005-0000-0000-0000E3000000}"/>
    <cellStyle name="Percent 2" xfId="5" xr:uid="{00000000-0005-0000-0000-0000E4000000}"/>
    <cellStyle name="TextNormal" xfId="7" xr:uid="{00000000-0005-0000-0000-0000E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127000</xdr:rowOff>
    </xdr:from>
    <xdr:to>
      <xdr:col>2</xdr:col>
      <xdr:colOff>50800</xdr:colOff>
      <xdr:row>3</xdr:row>
      <xdr:rowOff>63500</xdr:rowOff>
    </xdr:to>
    <xdr:pic>
      <xdr:nvPicPr>
        <xdr:cNvPr id="2" name="Picture 1">
          <a:extLst>
            <a:ext uri="{FF2B5EF4-FFF2-40B4-BE49-F238E27FC236}">
              <a16:creationId xmlns:a16="http://schemas.microsoft.com/office/drawing/2014/main" id="{718E3BCF-6156-794D-BF90-3D535937979A}"/>
            </a:ext>
          </a:extLst>
        </xdr:cNvPr>
        <xdr:cNvPicPr>
          <a:picLocks noChangeAspect="1"/>
        </xdr:cNvPicPr>
      </xdr:nvPicPr>
      <xdr:blipFill rotWithShape="1">
        <a:blip xmlns:r="http://schemas.openxmlformats.org/officeDocument/2006/relationships" r:embed="rId1"/>
        <a:srcRect l="15152" t="32323" r="15151" b="30303"/>
        <a:stretch/>
      </xdr:blipFill>
      <xdr:spPr>
        <a:xfrm>
          <a:off x="228600" y="127000"/>
          <a:ext cx="876300" cy="469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BAF8A-B475-3344-804E-8256A7BB0635}">
  <dimension ref="B2:B12"/>
  <sheetViews>
    <sheetView showGridLines="0" tabSelected="1" workbookViewId="0">
      <selection activeCell="B7" sqref="B7"/>
    </sheetView>
  </sheetViews>
  <sheetFormatPr baseColWidth="10" defaultRowHeight="11" x14ac:dyDescent="0.2"/>
  <cols>
    <col min="1" max="1" width="3" style="129" customWidth="1"/>
    <col min="2" max="16384" width="10.83203125" style="129"/>
  </cols>
  <sheetData>
    <row r="2" spans="2:2" ht="20" x14ac:dyDescent="0.2">
      <c r="B2" s="128"/>
    </row>
    <row r="7" spans="2:2" ht="14" x14ac:dyDescent="0.2">
      <c r="B7" s="130" t="s">
        <v>105</v>
      </c>
    </row>
    <row r="11" spans="2:2" x14ac:dyDescent="0.2">
      <c r="B11" s="129" t="s">
        <v>94</v>
      </c>
    </row>
    <row r="12" spans="2:2" x14ac:dyDescent="0.2">
      <c r="B12" s="131" t="s">
        <v>99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92D9-B466-1E49-8F1D-D04DFC165F65}">
  <dimension ref="A1:C15"/>
  <sheetViews>
    <sheetView showGridLines="0" zoomScale="85" zoomScaleNormal="85" workbookViewId="0">
      <selection activeCell="D40" sqref="D40"/>
    </sheetView>
  </sheetViews>
  <sheetFormatPr baseColWidth="10" defaultRowHeight="11" x14ac:dyDescent="0.15"/>
  <cols>
    <col min="1" max="1" width="3" style="133" customWidth="1"/>
    <col min="2" max="2" width="14.6640625" style="133" bestFit="1" customWidth="1"/>
    <col min="3" max="16384" width="10.83203125" style="133"/>
  </cols>
  <sheetData>
    <row r="1" spans="1:3" x14ac:dyDescent="0.15">
      <c r="A1" s="132" t="s">
        <v>95</v>
      </c>
    </row>
    <row r="2" spans="1:3" x14ac:dyDescent="0.15">
      <c r="A2" s="133" t="str">
        <f>Cover!$B$7</f>
        <v>Precedent transactions analysis and valuation</v>
      </c>
    </row>
    <row r="3" spans="1:3" s="135" customFormat="1" ht="16" x14ac:dyDescent="0.2">
      <c r="A3" s="134" t="str">
        <f ca="1">MID(CELL("filename",A1),FIND("]",CELL("filename",A1))+1,255)</f>
        <v>Index</v>
      </c>
    </row>
    <row r="4" spans="1:3" x14ac:dyDescent="0.15">
      <c r="A4" s="136"/>
    </row>
    <row r="5" spans="1:3" ht="15" customHeight="1" x14ac:dyDescent="0.15">
      <c r="A5" s="136"/>
      <c r="B5" s="137" t="s">
        <v>96</v>
      </c>
      <c r="C5" s="137"/>
    </row>
    <row r="6" spans="1:3" ht="10" customHeight="1" x14ac:dyDescent="0.15"/>
    <row r="7" spans="1:3" ht="10" customHeight="1" x14ac:dyDescent="0.15">
      <c r="B7" s="133" t="s">
        <v>100</v>
      </c>
      <c r="C7" s="138" t="s">
        <v>98</v>
      </c>
    </row>
    <row r="8" spans="1:3" ht="10" customHeight="1" x14ac:dyDescent="0.15">
      <c r="C8" s="138"/>
    </row>
    <row r="9" spans="1:3" ht="10" customHeight="1" x14ac:dyDescent="0.15">
      <c r="B9" s="133" t="s">
        <v>101</v>
      </c>
      <c r="C9" s="138" t="s">
        <v>98</v>
      </c>
    </row>
    <row r="10" spans="1:3" ht="10" customHeight="1" x14ac:dyDescent="0.15">
      <c r="C10" s="138"/>
    </row>
    <row r="11" spans="1:3" ht="10" customHeight="1" x14ac:dyDescent="0.15">
      <c r="B11" s="133" t="s">
        <v>97</v>
      </c>
      <c r="C11" s="138" t="s">
        <v>98</v>
      </c>
    </row>
    <row r="12" spans="1:3" ht="10" customHeight="1" x14ac:dyDescent="0.15">
      <c r="C12" s="138"/>
    </row>
    <row r="13" spans="1:3" ht="10" customHeight="1" x14ac:dyDescent="0.15">
      <c r="B13" s="133" t="s">
        <v>102</v>
      </c>
      <c r="C13" s="138" t="s">
        <v>98</v>
      </c>
    </row>
    <row r="14" spans="1:3" ht="10" customHeight="1" x14ac:dyDescent="0.15">
      <c r="C14" s="138"/>
    </row>
    <row r="15" spans="1:3" x14ac:dyDescent="0.15">
      <c r="B15" s="133" t="s">
        <v>103</v>
      </c>
      <c r="C15" s="138" t="s">
        <v>98</v>
      </c>
    </row>
  </sheetData>
  <hyperlinks>
    <hyperlink ref="C7" location="Instructions!A1" display="Link" xr:uid="{51538C8E-A496-D749-9BF7-D6841A2FAE1C}"/>
    <hyperlink ref="C9" location="Transactions!A1" display="Link" xr:uid="{52BEEC9A-655F-774A-82D2-FDBD8478C19C}"/>
    <hyperlink ref="C11" location="Input!A1" display="Link" xr:uid="{61686A93-9086-164A-93E1-A56E65030885}"/>
    <hyperlink ref="C13" location="Valuation!A1" display="Link" xr:uid="{C8E91F4F-B4FB-D149-B5CC-904B2FC59348}"/>
    <hyperlink ref="A1" location="Index!A1" display="Index" xr:uid="{B46548A4-EE4F-4040-A8E1-5D11ED4B53A3}"/>
    <hyperlink ref="C15" location="Valuation_Minority!A1" display="Link" xr:uid="{B2981CB1-FCB5-1E40-B9BC-7E2980370C9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7"/>
  <sheetViews>
    <sheetView showGridLines="0" zoomScale="85" zoomScaleNormal="85" zoomScalePageLayoutView="85" workbookViewId="0"/>
  </sheetViews>
  <sheetFormatPr baseColWidth="10" defaultColWidth="8.83203125" defaultRowHeight="11" x14ac:dyDescent="0.15"/>
  <cols>
    <col min="1" max="1" width="2.1640625" style="6" customWidth="1"/>
    <col min="2" max="14" width="15.1640625" style="6" customWidth="1"/>
    <col min="15" max="15" width="16.6640625" style="6" customWidth="1"/>
    <col min="16" max="17" width="16" style="6" customWidth="1"/>
    <col min="18" max="18" width="17.5" style="6" customWidth="1"/>
    <col min="19" max="20" width="15.33203125" style="6" customWidth="1"/>
    <col min="21" max="21" width="8.83203125" style="6"/>
    <col min="22" max="22" width="9" style="6" bestFit="1" customWidth="1"/>
    <col min="23" max="16384" width="8.83203125" style="6"/>
  </cols>
  <sheetData>
    <row r="1" spans="1:23" s="133" customFormat="1" x14ac:dyDescent="0.15">
      <c r="A1" s="132" t="s">
        <v>95</v>
      </c>
    </row>
    <row r="2" spans="1:23" s="133" customFormat="1" x14ac:dyDescent="0.15">
      <c r="A2" s="133" t="str">
        <f>Cover!$B$7</f>
        <v>Precedent transactions analysis and valuation</v>
      </c>
    </row>
    <row r="3" spans="1:23" s="135" customFormat="1" ht="16" x14ac:dyDescent="0.2">
      <c r="A3" s="134" t="str">
        <f ca="1">MID(CELL("filename",A1),FIND("]",CELL("filename",A1))+1,255)</f>
        <v>Instructions</v>
      </c>
    </row>
    <row r="4" spans="1:23" s="1" customFormat="1" x14ac:dyDescent="0.15">
      <c r="C4" s="2"/>
      <c r="U4" s="3"/>
    </row>
    <row r="5" spans="1:23" s="4" customFormat="1" ht="19.5" customHeight="1" x14ac:dyDescent="0.15">
      <c r="B5" s="7" t="s">
        <v>46</v>
      </c>
      <c r="C5" s="9"/>
      <c r="D5" s="8"/>
      <c r="E5" s="8"/>
      <c r="F5" s="8"/>
      <c r="G5" s="8"/>
      <c r="H5" s="8"/>
      <c r="I5" s="8"/>
      <c r="J5" s="8"/>
      <c r="K5" s="8"/>
      <c r="L5" s="8"/>
      <c r="M5" s="8"/>
      <c r="N5" s="8"/>
      <c r="O5" s="8"/>
      <c r="P5" s="8"/>
      <c r="Q5" s="8"/>
      <c r="R5" s="8"/>
      <c r="S5" s="8"/>
      <c r="T5" s="11"/>
      <c r="U5" s="60" t="s">
        <v>37</v>
      </c>
      <c r="V5" s="60"/>
      <c r="W5" s="60"/>
    </row>
    <row r="6" spans="1:23" s="76" customFormat="1" ht="24" collapsed="1" x14ac:dyDescent="0.2">
      <c r="B6" s="82" t="s">
        <v>5</v>
      </c>
      <c r="C6" s="79" t="s">
        <v>1</v>
      </c>
      <c r="D6" s="78" t="s">
        <v>2</v>
      </c>
      <c r="E6" s="78" t="s">
        <v>3</v>
      </c>
      <c r="F6" s="78" t="s">
        <v>28</v>
      </c>
      <c r="G6" s="79" t="s">
        <v>6</v>
      </c>
      <c r="H6" s="78" t="s">
        <v>4</v>
      </c>
      <c r="I6" s="78" t="s">
        <v>29</v>
      </c>
      <c r="J6" s="78" t="s">
        <v>48</v>
      </c>
      <c r="K6" s="78" t="s">
        <v>14</v>
      </c>
      <c r="L6" s="78" t="s">
        <v>16</v>
      </c>
      <c r="M6" s="78" t="s">
        <v>8</v>
      </c>
      <c r="N6" s="78" t="s">
        <v>15</v>
      </c>
      <c r="O6" s="78" t="s">
        <v>7</v>
      </c>
      <c r="P6" s="78" t="s">
        <v>9</v>
      </c>
      <c r="Q6" s="78" t="s">
        <v>10</v>
      </c>
      <c r="R6" s="78" t="s">
        <v>11</v>
      </c>
      <c r="S6" s="78" t="s">
        <v>12</v>
      </c>
      <c r="T6" s="81" t="s">
        <v>13</v>
      </c>
      <c r="U6" s="80" t="s">
        <v>38</v>
      </c>
      <c r="V6" s="80" t="s">
        <v>39</v>
      </c>
      <c r="W6" s="81" t="s">
        <v>40</v>
      </c>
    </row>
    <row r="7" spans="1:23" s="12" customFormat="1" ht="193" thickBot="1" x14ac:dyDescent="0.25">
      <c r="B7" s="13" t="s">
        <v>35</v>
      </c>
      <c r="C7" s="14" t="s">
        <v>22</v>
      </c>
      <c r="D7" s="15" t="s">
        <v>19</v>
      </c>
      <c r="E7" s="15" t="s">
        <v>18</v>
      </c>
      <c r="F7" s="15" t="s">
        <v>20</v>
      </c>
      <c r="G7" s="14" t="s">
        <v>23</v>
      </c>
      <c r="H7" s="14" t="s">
        <v>24</v>
      </c>
      <c r="I7" s="14" t="s">
        <v>50</v>
      </c>
      <c r="J7" s="16" t="s">
        <v>77</v>
      </c>
      <c r="K7" s="17" t="s">
        <v>25</v>
      </c>
      <c r="L7" s="17" t="s">
        <v>26</v>
      </c>
      <c r="M7" s="17" t="s">
        <v>21</v>
      </c>
      <c r="N7" s="17" t="s">
        <v>27</v>
      </c>
      <c r="O7" s="18" t="s">
        <v>30</v>
      </c>
      <c r="P7" s="18" t="s">
        <v>31</v>
      </c>
      <c r="Q7" s="18" t="s">
        <v>32</v>
      </c>
      <c r="R7" s="18" t="s">
        <v>33</v>
      </c>
      <c r="S7" s="18" t="s">
        <v>34</v>
      </c>
      <c r="T7" s="19" t="s">
        <v>36</v>
      </c>
      <c r="U7" s="13" t="s">
        <v>49</v>
      </c>
      <c r="V7" s="83" t="s">
        <v>49</v>
      </c>
      <c r="W7" s="84" t="s">
        <v>49</v>
      </c>
    </row>
  </sheetData>
  <hyperlinks>
    <hyperlink ref="A1" location="Index!A1" display="Index" xr:uid="{394F8826-92A6-FE4C-AF62-7C2626CEE48C}"/>
  </hyperlink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21"/>
  <sheetViews>
    <sheetView showGridLines="0" zoomScale="85" zoomScaleNormal="85" zoomScalePageLayoutView="85" workbookViewId="0"/>
  </sheetViews>
  <sheetFormatPr baseColWidth="10" defaultColWidth="8.83203125" defaultRowHeight="11" x14ac:dyDescent="0.15"/>
  <cols>
    <col min="1" max="1" width="2.1640625" style="6" customWidth="1"/>
    <col min="2" max="2" width="4" style="6" customWidth="1"/>
    <col min="3" max="3" width="11.33203125" style="6" bestFit="1" customWidth="1"/>
    <col min="4" max="4" width="8.83203125" style="6"/>
    <col min="5" max="5" width="11.1640625" style="6" customWidth="1"/>
    <col min="6" max="6" width="20.83203125" style="6" customWidth="1"/>
    <col min="7" max="7" width="10.6640625" style="6" customWidth="1"/>
    <col min="8" max="8" width="42.83203125" style="6" customWidth="1"/>
    <col min="9" max="9" width="12.1640625" style="6" customWidth="1"/>
    <col min="10" max="10" width="11.5" style="6" bestFit="1" customWidth="1"/>
    <col min="11" max="11" width="9" style="6" bestFit="1" customWidth="1"/>
    <col min="12" max="12" width="9" style="6" customWidth="1"/>
    <col min="13" max="13" width="9" style="6" bestFit="1" customWidth="1"/>
    <col min="14" max="14" width="9" style="6" customWidth="1"/>
    <col min="15" max="22" width="9.83203125" style="6" customWidth="1"/>
    <col min="23" max="23" width="10.33203125" style="6" customWidth="1"/>
    <col min="24" max="24" width="9.83203125" style="6" customWidth="1"/>
    <col min="25" max="26" width="9" style="6" customWidth="1"/>
    <col min="27" max="27" width="9" style="6" bestFit="1" customWidth="1"/>
    <col min="28" max="28" width="8.83203125" style="6"/>
    <col min="29" max="29" width="9" style="6" bestFit="1" customWidth="1"/>
    <col min="30" max="16384" width="8.83203125" style="6"/>
  </cols>
  <sheetData>
    <row r="1" spans="1:30" s="133" customFormat="1" x14ac:dyDescent="0.15">
      <c r="A1" s="132" t="s">
        <v>95</v>
      </c>
    </row>
    <row r="2" spans="1:30" s="133" customFormat="1" x14ac:dyDescent="0.15">
      <c r="A2" s="133" t="str">
        <f>Cover!$B$7</f>
        <v>Precedent transactions analysis and valuation</v>
      </c>
    </row>
    <row r="3" spans="1:30" s="135" customFormat="1" ht="16" x14ac:dyDescent="0.2">
      <c r="A3" s="134" t="str">
        <f ca="1">MID(CELL("filename",A1),FIND("]",CELL("filename",A1))+1,255)</f>
        <v>Transactions</v>
      </c>
    </row>
    <row r="4" spans="1:30" s="1" customFormat="1" x14ac:dyDescent="0.15">
      <c r="D4" s="2"/>
      <c r="AB4" s="3"/>
    </row>
    <row r="5" spans="1:30" s="4" customFormat="1" ht="19.5" customHeight="1" x14ac:dyDescent="0.15">
      <c r="B5" s="7" t="s">
        <v>47</v>
      </c>
      <c r="C5" s="8"/>
      <c r="D5" s="9"/>
      <c r="E5" s="8"/>
      <c r="F5" s="8"/>
      <c r="G5" s="8"/>
      <c r="H5" s="8"/>
      <c r="I5" s="8"/>
      <c r="J5" s="8"/>
      <c r="K5" s="8"/>
      <c r="L5" s="8"/>
      <c r="M5" s="8"/>
      <c r="N5" s="8"/>
      <c r="O5" s="8"/>
      <c r="P5" s="8"/>
      <c r="Q5" s="8"/>
      <c r="R5" s="8"/>
      <c r="S5" s="8"/>
      <c r="T5" s="8"/>
      <c r="U5" s="8"/>
      <c r="V5" s="8"/>
      <c r="W5" s="10"/>
      <c r="X5" s="8"/>
      <c r="Y5" s="8"/>
      <c r="Z5" s="8"/>
      <c r="AA5" s="11"/>
      <c r="AB5" s="60" t="s">
        <v>37</v>
      </c>
      <c r="AC5" s="60"/>
      <c r="AD5" s="60"/>
    </row>
    <row r="6" spans="1:30" s="76" customFormat="1" ht="36" collapsed="1" x14ac:dyDescent="0.2">
      <c r="B6" s="77" t="s">
        <v>0</v>
      </c>
      <c r="C6" s="78" t="s">
        <v>5</v>
      </c>
      <c r="D6" s="79" t="s">
        <v>1</v>
      </c>
      <c r="E6" s="78" t="s">
        <v>2</v>
      </c>
      <c r="F6" s="78" t="s">
        <v>3</v>
      </c>
      <c r="G6" s="78" t="s">
        <v>28</v>
      </c>
      <c r="H6" s="79" t="s">
        <v>6</v>
      </c>
      <c r="I6" s="78" t="s">
        <v>4</v>
      </c>
      <c r="J6" s="78" t="s">
        <v>29</v>
      </c>
      <c r="K6" s="78" t="s">
        <v>48</v>
      </c>
      <c r="L6" s="78" t="s">
        <v>14</v>
      </c>
      <c r="M6" s="78" t="s">
        <v>16</v>
      </c>
      <c r="N6" s="78" t="s">
        <v>17</v>
      </c>
      <c r="O6" s="78" t="s">
        <v>8</v>
      </c>
      <c r="P6" s="78" t="s">
        <v>15</v>
      </c>
      <c r="Q6" s="78" t="s">
        <v>7</v>
      </c>
      <c r="R6" s="78" t="s">
        <v>9</v>
      </c>
      <c r="S6" s="78" t="s">
        <v>10</v>
      </c>
      <c r="T6" s="78" t="s">
        <v>11</v>
      </c>
      <c r="U6" s="78" t="s">
        <v>12</v>
      </c>
      <c r="V6" s="78" t="s">
        <v>13</v>
      </c>
      <c r="W6" s="80" t="s">
        <v>63</v>
      </c>
      <c r="X6" s="80" t="s">
        <v>76</v>
      </c>
      <c r="Y6" s="80" t="s">
        <v>64</v>
      </c>
      <c r="Z6" s="80" t="s">
        <v>65</v>
      </c>
      <c r="AA6" s="81" t="s">
        <v>66</v>
      </c>
      <c r="AB6" s="80" t="s">
        <v>38</v>
      </c>
      <c r="AC6" s="80" t="s">
        <v>39</v>
      </c>
      <c r="AD6" s="81" t="s">
        <v>40</v>
      </c>
    </row>
    <row r="7" spans="1:30" s="4" customFormat="1" ht="12" x14ac:dyDescent="0.15">
      <c r="B7" s="20">
        <v>1</v>
      </c>
      <c r="C7" s="21"/>
      <c r="D7" s="22"/>
      <c r="E7" s="23"/>
      <c r="F7" s="23"/>
      <c r="G7" s="23"/>
      <c r="H7" s="22"/>
      <c r="I7" s="24"/>
      <c r="J7" s="24"/>
      <c r="K7" s="25"/>
      <c r="L7" s="26"/>
      <c r="M7" s="27"/>
      <c r="N7" s="27" t="str">
        <f>IFERROR(M7/K7,"n.a.")</f>
        <v>n.a.</v>
      </c>
      <c r="O7" s="27"/>
      <c r="P7" s="27"/>
      <c r="Q7" s="27"/>
      <c r="R7" s="27"/>
      <c r="S7" s="27"/>
      <c r="T7" s="27"/>
      <c r="U7" s="27"/>
      <c r="V7" s="27"/>
      <c r="W7" s="28" t="str">
        <f>IFERROR($O7/Q7,"n.a.")</f>
        <v>n.a.</v>
      </c>
      <c r="X7" s="28" t="str">
        <f>IFERROR($O7/R7,"n.a.")</f>
        <v>n.a.</v>
      </c>
      <c r="Y7" s="28" t="str">
        <f>IFERROR($O7/S7,"n.a.")</f>
        <v>n.a.</v>
      </c>
      <c r="Z7" s="28" t="str">
        <f>IFERROR($N7/T7,"n.a.")</f>
        <v>n.a.</v>
      </c>
      <c r="AA7" s="29" t="str">
        <f>IFERROR($N7/U7,"n.a.")</f>
        <v>n.a.</v>
      </c>
      <c r="AB7" s="27"/>
      <c r="AC7" s="27"/>
      <c r="AD7" s="29"/>
    </row>
    <row r="8" spans="1:30" s="4" customFormat="1" ht="12" x14ac:dyDescent="0.15">
      <c r="A8" s="5"/>
      <c r="B8" s="30">
        <f>B7+1</f>
        <v>2</v>
      </c>
      <c r="C8" s="31"/>
      <c r="D8" s="32"/>
      <c r="E8" s="33"/>
      <c r="F8" s="33"/>
      <c r="G8" s="33"/>
      <c r="H8" s="32"/>
      <c r="I8" s="34"/>
      <c r="J8" s="34"/>
      <c r="K8" s="35"/>
      <c r="L8" s="36"/>
      <c r="M8" s="37"/>
      <c r="N8" s="37" t="str">
        <f t="shared" ref="N8:N16" si="0">IFERROR(M8/K8,"n.a.")</f>
        <v>n.a.</v>
      </c>
      <c r="O8" s="37"/>
      <c r="P8" s="37"/>
      <c r="Q8" s="37"/>
      <c r="R8" s="37"/>
      <c r="S8" s="37"/>
      <c r="T8" s="37"/>
      <c r="U8" s="37"/>
      <c r="V8" s="37"/>
      <c r="W8" s="38" t="str">
        <f t="shared" ref="W8:W16" si="1">IFERROR($O8/Q8,"n.a.")</f>
        <v>n.a.</v>
      </c>
      <c r="X8" s="38" t="str">
        <f t="shared" ref="X8:X16" si="2">IFERROR($O8/R8,"n.a.")</f>
        <v>n.a.</v>
      </c>
      <c r="Y8" s="38" t="str">
        <f t="shared" ref="Y8:Y16" si="3">IFERROR($O8/S8,"n.a.")</f>
        <v>n.a.</v>
      </c>
      <c r="Z8" s="38" t="str">
        <f t="shared" ref="Z8:Z16" si="4">IFERROR($N8/T8,"n.a.")</f>
        <v>n.a.</v>
      </c>
      <c r="AA8" s="39" t="str">
        <f t="shared" ref="AA8:AA16" si="5">IFERROR($N8/U8,"n.a.")</f>
        <v>n.a.</v>
      </c>
      <c r="AB8" s="37"/>
      <c r="AC8" s="37"/>
      <c r="AD8" s="39"/>
    </row>
    <row r="9" spans="1:30" s="4" customFormat="1" ht="12" x14ac:dyDescent="0.15">
      <c r="A9" s="5"/>
      <c r="B9" s="40">
        <f t="shared" ref="B9:B16" si="6">B8+1</f>
        <v>3</v>
      </c>
      <c r="C9" s="41"/>
      <c r="D9" s="42"/>
      <c r="E9" s="43"/>
      <c r="F9" s="43"/>
      <c r="G9" s="43"/>
      <c r="H9" s="42"/>
      <c r="I9" s="44"/>
      <c r="J9" s="44"/>
      <c r="K9" s="45"/>
      <c r="L9" s="46"/>
      <c r="M9" s="47"/>
      <c r="N9" s="47" t="str">
        <f t="shared" si="0"/>
        <v>n.a.</v>
      </c>
      <c r="O9" s="47"/>
      <c r="P9" s="47"/>
      <c r="Q9" s="47"/>
      <c r="R9" s="47"/>
      <c r="S9" s="47"/>
      <c r="T9" s="47"/>
      <c r="U9" s="47"/>
      <c r="V9" s="47"/>
      <c r="W9" s="48" t="str">
        <f t="shared" si="1"/>
        <v>n.a.</v>
      </c>
      <c r="X9" s="48" t="str">
        <f t="shared" si="2"/>
        <v>n.a.</v>
      </c>
      <c r="Y9" s="48" t="str">
        <f t="shared" si="3"/>
        <v>n.a.</v>
      </c>
      <c r="Z9" s="48" t="str">
        <f t="shared" si="4"/>
        <v>n.a.</v>
      </c>
      <c r="AA9" s="49" t="str">
        <f t="shared" si="5"/>
        <v>n.a.</v>
      </c>
      <c r="AB9" s="47"/>
      <c r="AC9" s="47"/>
      <c r="AD9" s="49"/>
    </row>
    <row r="10" spans="1:30" s="4" customFormat="1" ht="12" x14ac:dyDescent="0.15">
      <c r="A10" s="5"/>
      <c r="B10" s="30">
        <f t="shared" si="6"/>
        <v>4</v>
      </c>
      <c r="C10" s="31"/>
      <c r="D10" s="32"/>
      <c r="E10" s="33"/>
      <c r="F10" s="33"/>
      <c r="G10" s="33"/>
      <c r="H10" s="32"/>
      <c r="I10" s="34"/>
      <c r="J10" s="34"/>
      <c r="K10" s="35"/>
      <c r="L10" s="36"/>
      <c r="M10" s="37"/>
      <c r="N10" s="37" t="str">
        <f t="shared" si="0"/>
        <v>n.a.</v>
      </c>
      <c r="O10" s="37"/>
      <c r="P10" s="37"/>
      <c r="Q10" s="37"/>
      <c r="R10" s="37"/>
      <c r="S10" s="37"/>
      <c r="T10" s="37"/>
      <c r="U10" s="37"/>
      <c r="V10" s="37"/>
      <c r="W10" s="38" t="str">
        <f t="shared" si="1"/>
        <v>n.a.</v>
      </c>
      <c r="X10" s="38" t="str">
        <f t="shared" si="2"/>
        <v>n.a.</v>
      </c>
      <c r="Y10" s="38" t="str">
        <f t="shared" si="3"/>
        <v>n.a.</v>
      </c>
      <c r="Z10" s="38" t="str">
        <f t="shared" si="4"/>
        <v>n.a.</v>
      </c>
      <c r="AA10" s="39" t="str">
        <f t="shared" si="5"/>
        <v>n.a.</v>
      </c>
      <c r="AB10" s="37"/>
      <c r="AC10" s="37"/>
      <c r="AD10" s="39"/>
    </row>
    <row r="11" spans="1:30" s="4" customFormat="1" ht="12" x14ac:dyDescent="0.15">
      <c r="A11" s="5"/>
      <c r="B11" s="40">
        <f t="shared" si="6"/>
        <v>5</v>
      </c>
      <c r="C11" s="41"/>
      <c r="D11" s="42"/>
      <c r="E11" s="43"/>
      <c r="F11" s="43"/>
      <c r="G11" s="43"/>
      <c r="H11" s="42"/>
      <c r="I11" s="44"/>
      <c r="J11" s="44"/>
      <c r="K11" s="45"/>
      <c r="L11" s="46"/>
      <c r="M11" s="47"/>
      <c r="N11" s="47" t="str">
        <f t="shared" si="0"/>
        <v>n.a.</v>
      </c>
      <c r="O11" s="47"/>
      <c r="P11" s="47"/>
      <c r="Q11" s="47"/>
      <c r="R11" s="47"/>
      <c r="S11" s="47"/>
      <c r="T11" s="47"/>
      <c r="U11" s="47"/>
      <c r="V11" s="47"/>
      <c r="W11" s="48" t="str">
        <f t="shared" si="1"/>
        <v>n.a.</v>
      </c>
      <c r="X11" s="48" t="str">
        <f t="shared" si="2"/>
        <v>n.a.</v>
      </c>
      <c r="Y11" s="48" t="str">
        <f t="shared" si="3"/>
        <v>n.a.</v>
      </c>
      <c r="Z11" s="48" t="str">
        <f t="shared" si="4"/>
        <v>n.a.</v>
      </c>
      <c r="AA11" s="49" t="str">
        <f t="shared" si="5"/>
        <v>n.a.</v>
      </c>
      <c r="AB11" s="47"/>
      <c r="AC11" s="47"/>
      <c r="AD11" s="49"/>
    </row>
    <row r="12" spans="1:30" s="4" customFormat="1" ht="12" x14ac:dyDescent="0.15">
      <c r="A12" s="5"/>
      <c r="B12" s="30">
        <f t="shared" si="6"/>
        <v>6</v>
      </c>
      <c r="C12" s="31"/>
      <c r="D12" s="32"/>
      <c r="E12" s="33"/>
      <c r="F12" s="33"/>
      <c r="G12" s="33"/>
      <c r="H12" s="32"/>
      <c r="I12" s="34"/>
      <c r="J12" s="34"/>
      <c r="K12" s="35"/>
      <c r="L12" s="36"/>
      <c r="M12" s="37"/>
      <c r="N12" s="37" t="str">
        <f t="shared" si="0"/>
        <v>n.a.</v>
      </c>
      <c r="O12" s="37"/>
      <c r="P12" s="37"/>
      <c r="Q12" s="37"/>
      <c r="R12" s="37"/>
      <c r="S12" s="37"/>
      <c r="T12" s="37"/>
      <c r="U12" s="37"/>
      <c r="V12" s="37"/>
      <c r="W12" s="38" t="str">
        <f t="shared" si="1"/>
        <v>n.a.</v>
      </c>
      <c r="X12" s="38" t="str">
        <f t="shared" si="2"/>
        <v>n.a.</v>
      </c>
      <c r="Y12" s="38" t="str">
        <f t="shared" si="3"/>
        <v>n.a.</v>
      </c>
      <c r="Z12" s="38" t="str">
        <f t="shared" si="4"/>
        <v>n.a.</v>
      </c>
      <c r="AA12" s="39" t="str">
        <f t="shared" si="5"/>
        <v>n.a.</v>
      </c>
      <c r="AB12" s="37"/>
      <c r="AC12" s="37"/>
      <c r="AD12" s="39"/>
    </row>
    <row r="13" spans="1:30" s="4" customFormat="1" ht="12" x14ac:dyDescent="0.15">
      <c r="A13" s="5"/>
      <c r="B13" s="40">
        <f t="shared" si="6"/>
        <v>7</v>
      </c>
      <c r="C13" s="41"/>
      <c r="D13" s="42"/>
      <c r="E13" s="43"/>
      <c r="F13" s="43"/>
      <c r="G13" s="43"/>
      <c r="H13" s="42"/>
      <c r="I13" s="44"/>
      <c r="J13" s="44"/>
      <c r="K13" s="45"/>
      <c r="L13" s="46"/>
      <c r="M13" s="47"/>
      <c r="N13" s="47" t="str">
        <f t="shared" si="0"/>
        <v>n.a.</v>
      </c>
      <c r="O13" s="47"/>
      <c r="P13" s="47"/>
      <c r="Q13" s="47"/>
      <c r="R13" s="47"/>
      <c r="S13" s="47"/>
      <c r="T13" s="47"/>
      <c r="U13" s="47"/>
      <c r="V13" s="47"/>
      <c r="W13" s="48" t="str">
        <f t="shared" si="1"/>
        <v>n.a.</v>
      </c>
      <c r="X13" s="48" t="str">
        <f t="shared" si="2"/>
        <v>n.a.</v>
      </c>
      <c r="Y13" s="48" t="str">
        <f t="shared" si="3"/>
        <v>n.a.</v>
      </c>
      <c r="Z13" s="48" t="str">
        <f t="shared" si="4"/>
        <v>n.a.</v>
      </c>
      <c r="AA13" s="49" t="str">
        <f t="shared" si="5"/>
        <v>n.a.</v>
      </c>
      <c r="AB13" s="47"/>
      <c r="AC13" s="47"/>
      <c r="AD13" s="49"/>
    </row>
    <row r="14" spans="1:30" s="4" customFormat="1" ht="12" x14ac:dyDescent="0.15">
      <c r="A14" s="5"/>
      <c r="B14" s="30">
        <f t="shared" si="6"/>
        <v>8</v>
      </c>
      <c r="C14" s="31"/>
      <c r="D14" s="32"/>
      <c r="E14" s="33"/>
      <c r="F14" s="33"/>
      <c r="G14" s="33"/>
      <c r="H14" s="32"/>
      <c r="I14" s="34"/>
      <c r="J14" s="34"/>
      <c r="K14" s="35"/>
      <c r="L14" s="36"/>
      <c r="M14" s="37"/>
      <c r="N14" s="37" t="str">
        <f t="shared" si="0"/>
        <v>n.a.</v>
      </c>
      <c r="O14" s="37"/>
      <c r="P14" s="37"/>
      <c r="Q14" s="37"/>
      <c r="R14" s="37"/>
      <c r="S14" s="37"/>
      <c r="T14" s="37"/>
      <c r="U14" s="37"/>
      <c r="V14" s="37"/>
      <c r="W14" s="38" t="str">
        <f t="shared" si="1"/>
        <v>n.a.</v>
      </c>
      <c r="X14" s="38" t="str">
        <f t="shared" si="2"/>
        <v>n.a.</v>
      </c>
      <c r="Y14" s="38" t="str">
        <f t="shared" si="3"/>
        <v>n.a.</v>
      </c>
      <c r="Z14" s="38" t="str">
        <f t="shared" si="4"/>
        <v>n.a.</v>
      </c>
      <c r="AA14" s="39" t="str">
        <f t="shared" si="5"/>
        <v>n.a.</v>
      </c>
      <c r="AB14" s="37"/>
      <c r="AC14" s="37"/>
      <c r="AD14" s="39"/>
    </row>
    <row r="15" spans="1:30" s="4" customFormat="1" ht="12" x14ac:dyDescent="0.15">
      <c r="A15" s="5"/>
      <c r="B15" s="40">
        <f t="shared" si="6"/>
        <v>9</v>
      </c>
      <c r="C15" s="41"/>
      <c r="D15" s="42"/>
      <c r="E15" s="43"/>
      <c r="F15" s="43"/>
      <c r="G15" s="43"/>
      <c r="H15" s="42"/>
      <c r="I15" s="44"/>
      <c r="J15" s="44"/>
      <c r="K15" s="45"/>
      <c r="L15" s="46"/>
      <c r="M15" s="47"/>
      <c r="N15" s="47" t="str">
        <f t="shared" si="0"/>
        <v>n.a.</v>
      </c>
      <c r="O15" s="47"/>
      <c r="P15" s="47"/>
      <c r="Q15" s="47"/>
      <c r="R15" s="47"/>
      <c r="S15" s="47"/>
      <c r="T15" s="47"/>
      <c r="U15" s="47"/>
      <c r="V15" s="47"/>
      <c r="W15" s="48" t="str">
        <f t="shared" si="1"/>
        <v>n.a.</v>
      </c>
      <c r="X15" s="48" t="str">
        <f t="shared" si="2"/>
        <v>n.a.</v>
      </c>
      <c r="Y15" s="48" t="str">
        <f t="shared" si="3"/>
        <v>n.a.</v>
      </c>
      <c r="Z15" s="48" t="str">
        <f t="shared" si="4"/>
        <v>n.a.</v>
      </c>
      <c r="AA15" s="49" t="str">
        <f t="shared" si="5"/>
        <v>n.a.</v>
      </c>
      <c r="AB15" s="47"/>
      <c r="AC15" s="47"/>
      <c r="AD15" s="49"/>
    </row>
    <row r="16" spans="1:30" s="4" customFormat="1" ht="13" thickBot="1" x14ac:dyDescent="0.2">
      <c r="A16" s="5"/>
      <c r="B16" s="50">
        <f t="shared" si="6"/>
        <v>10</v>
      </c>
      <c r="C16" s="51"/>
      <c r="D16" s="52"/>
      <c r="E16" s="53"/>
      <c r="F16" s="53"/>
      <c r="G16" s="53"/>
      <c r="H16" s="52"/>
      <c r="I16" s="54"/>
      <c r="J16" s="54"/>
      <c r="K16" s="55"/>
      <c r="L16" s="56"/>
      <c r="M16" s="57"/>
      <c r="N16" s="57" t="str">
        <f t="shared" si="0"/>
        <v>n.a.</v>
      </c>
      <c r="O16" s="57"/>
      <c r="P16" s="57"/>
      <c r="Q16" s="57"/>
      <c r="R16" s="57"/>
      <c r="S16" s="57"/>
      <c r="T16" s="57"/>
      <c r="U16" s="57"/>
      <c r="V16" s="57"/>
      <c r="W16" s="58" t="str">
        <f t="shared" si="1"/>
        <v>n.a.</v>
      </c>
      <c r="X16" s="58" t="str">
        <f t="shared" si="2"/>
        <v>n.a.</v>
      </c>
      <c r="Y16" s="58" t="str">
        <f t="shared" si="3"/>
        <v>n.a.</v>
      </c>
      <c r="Z16" s="58" t="str">
        <f t="shared" si="4"/>
        <v>n.a.</v>
      </c>
      <c r="AA16" s="59" t="str">
        <f t="shared" si="5"/>
        <v>n.a.</v>
      </c>
      <c r="AB16" s="57"/>
      <c r="AC16" s="57"/>
      <c r="AD16" s="59"/>
    </row>
    <row r="17" spans="2:30" x14ac:dyDescent="0.15">
      <c r="B17" s="63" t="s">
        <v>41</v>
      </c>
      <c r="C17" s="64"/>
      <c r="D17" s="64"/>
      <c r="E17" s="64"/>
      <c r="F17" s="64"/>
      <c r="G17" s="64"/>
      <c r="H17" s="64"/>
      <c r="I17" s="64"/>
      <c r="J17" s="64"/>
      <c r="K17" s="64"/>
      <c r="L17" s="64"/>
      <c r="M17" s="64"/>
      <c r="N17" s="64"/>
      <c r="O17" s="64"/>
      <c r="P17" s="64"/>
      <c r="Q17" s="64"/>
      <c r="R17" s="64"/>
      <c r="S17" s="64"/>
      <c r="T17" s="64"/>
      <c r="U17" s="64"/>
      <c r="V17" s="64"/>
      <c r="W17" s="68">
        <f>MIN(W$7:W$16)</f>
        <v>0</v>
      </c>
      <c r="X17" s="68">
        <f t="shared" ref="X17:AD17" si="7">MIN(X$7:X$16)</f>
        <v>0</v>
      </c>
      <c r="Y17" s="68">
        <f t="shared" si="7"/>
        <v>0</v>
      </c>
      <c r="Z17" s="68">
        <f t="shared" si="7"/>
        <v>0</v>
      </c>
      <c r="AA17" s="72">
        <f t="shared" si="7"/>
        <v>0</v>
      </c>
      <c r="AB17" s="68">
        <f t="shared" si="7"/>
        <v>0</v>
      </c>
      <c r="AC17" s="68">
        <f t="shared" si="7"/>
        <v>0</v>
      </c>
      <c r="AD17" s="72">
        <f t="shared" si="7"/>
        <v>0</v>
      </c>
    </row>
    <row r="18" spans="2:30" x14ac:dyDescent="0.15">
      <c r="B18" s="61" t="s">
        <v>42</v>
      </c>
      <c r="C18" s="62"/>
      <c r="D18" s="62"/>
      <c r="E18" s="62"/>
      <c r="F18" s="62"/>
      <c r="G18" s="62"/>
      <c r="H18" s="62"/>
      <c r="I18" s="62"/>
      <c r="J18" s="62"/>
      <c r="K18" s="62"/>
      <c r="L18" s="62"/>
      <c r="M18" s="62"/>
      <c r="N18" s="62"/>
      <c r="O18" s="62"/>
      <c r="P18" s="62"/>
      <c r="Q18" s="62"/>
      <c r="R18" s="62"/>
      <c r="S18" s="62"/>
      <c r="T18" s="62"/>
      <c r="U18" s="62"/>
      <c r="V18" s="62"/>
      <c r="W18" s="69" t="e">
        <f>AVERAGE(W$7:W$16)</f>
        <v>#DIV/0!</v>
      </c>
      <c r="X18" s="69" t="e">
        <f t="shared" ref="X18:AD18" si="8">AVERAGE(X$7:X$16)</f>
        <v>#DIV/0!</v>
      </c>
      <c r="Y18" s="69" t="e">
        <f t="shared" si="8"/>
        <v>#DIV/0!</v>
      </c>
      <c r="Z18" s="69" t="e">
        <f t="shared" si="8"/>
        <v>#DIV/0!</v>
      </c>
      <c r="AA18" s="73" t="e">
        <f t="shared" si="8"/>
        <v>#DIV/0!</v>
      </c>
      <c r="AB18" s="69" t="e">
        <f t="shared" si="8"/>
        <v>#DIV/0!</v>
      </c>
      <c r="AC18" s="69" t="e">
        <f t="shared" si="8"/>
        <v>#DIV/0!</v>
      </c>
      <c r="AD18" s="73" t="e">
        <f t="shared" si="8"/>
        <v>#DIV/0!</v>
      </c>
    </row>
    <row r="19" spans="2:30" x14ac:dyDescent="0.15">
      <c r="B19" s="67" t="s">
        <v>43</v>
      </c>
      <c r="C19" s="62"/>
      <c r="D19" s="62"/>
      <c r="E19" s="62"/>
      <c r="F19" s="62"/>
      <c r="G19" s="62"/>
      <c r="H19" s="62"/>
      <c r="I19" s="62"/>
      <c r="J19" s="62"/>
      <c r="K19" s="62"/>
      <c r="L19" s="62"/>
      <c r="M19" s="62"/>
      <c r="N19" s="62"/>
      <c r="O19" s="62"/>
      <c r="P19" s="62"/>
      <c r="Q19" s="62"/>
      <c r="R19" s="62"/>
      <c r="S19" s="62"/>
      <c r="T19" s="62"/>
      <c r="U19" s="62"/>
      <c r="V19" s="62"/>
      <c r="W19" s="70">
        <f t="shared" ref="W19:AD19" si="9">(SUM(W$7:W$16)-W$17-W$21)/(COUNT(W$7:W$16)-2)</f>
        <v>0</v>
      </c>
      <c r="X19" s="70">
        <f t="shared" si="9"/>
        <v>0</v>
      </c>
      <c r="Y19" s="70">
        <f t="shared" si="9"/>
        <v>0</v>
      </c>
      <c r="Z19" s="70">
        <f t="shared" si="9"/>
        <v>0</v>
      </c>
      <c r="AA19" s="74">
        <f t="shared" si="9"/>
        <v>0</v>
      </c>
      <c r="AB19" s="70">
        <f t="shared" si="9"/>
        <v>0</v>
      </c>
      <c r="AC19" s="70">
        <f t="shared" si="9"/>
        <v>0</v>
      </c>
      <c r="AD19" s="74">
        <f t="shared" si="9"/>
        <v>0</v>
      </c>
    </row>
    <row r="20" spans="2:30" x14ac:dyDescent="0.15">
      <c r="B20" s="67" t="s">
        <v>44</v>
      </c>
      <c r="C20" s="62"/>
      <c r="D20" s="62"/>
      <c r="E20" s="62"/>
      <c r="F20" s="62"/>
      <c r="G20" s="62"/>
      <c r="H20" s="62"/>
      <c r="I20" s="62"/>
      <c r="J20" s="62"/>
      <c r="K20" s="62"/>
      <c r="L20" s="62"/>
      <c r="M20" s="62"/>
      <c r="N20" s="62"/>
      <c r="O20" s="62"/>
      <c r="P20" s="62"/>
      <c r="Q20" s="62"/>
      <c r="R20" s="62"/>
      <c r="S20" s="62"/>
      <c r="T20" s="62"/>
      <c r="U20" s="62"/>
      <c r="V20" s="62"/>
      <c r="W20" s="70" t="e">
        <f t="shared" ref="W20:AD20" si="10">MEDIAN(W$7:W$16)</f>
        <v>#NUM!</v>
      </c>
      <c r="X20" s="70" t="e">
        <f t="shared" si="10"/>
        <v>#NUM!</v>
      </c>
      <c r="Y20" s="70" t="e">
        <f t="shared" si="10"/>
        <v>#NUM!</v>
      </c>
      <c r="Z20" s="70" t="e">
        <f t="shared" si="10"/>
        <v>#NUM!</v>
      </c>
      <c r="AA20" s="74" t="e">
        <f t="shared" si="10"/>
        <v>#NUM!</v>
      </c>
      <c r="AB20" s="70" t="e">
        <f t="shared" si="10"/>
        <v>#NUM!</v>
      </c>
      <c r="AC20" s="70" t="e">
        <f t="shared" si="10"/>
        <v>#NUM!</v>
      </c>
      <c r="AD20" s="74" t="e">
        <f t="shared" si="10"/>
        <v>#NUM!</v>
      </c>
    </row>
    <row r="21" spans="2:30" ht="12" thickBot="1" x14ac:dyDescent="0.2">
      <c r="B21" s="65" t="s">
        <v>45</v>
      </c>
      <c r="C21" s="66"/>
      <c r="D21" s="66"/>
      <c r="E21" s="66"/>
      <c r="F21" s="66"/>
      <c r="G21" s="66"/>
      <c r="H21" s="66"/>
      <c r="I21" s="66"/>
      <c r="J21" s="66"/>
      <c r="K21" s="66"/>
      <c r="L21" s="66"/>
      <c r="M21" s="66"/>
      <c r="N21" s="66"/>
      <c r="O21" s="66"/>
      <c r="P21" s="66"/>
      <c r="Q21" s="66"/>
      <c r="R21" s="66"/>
      <c r="S21" s="66"/>
      <c r="T21" s="66"/>
      <c r="U21" s="66"/>
      <c r="V21" s="66"/>
      <c r="W21" s="71">
        <f>MAX(W$7:W$16)</f>
        <v>0</v>
      </c>
      <c r="X21" s="71">
        <f t="shared" ref="X21:AD21" si="11">MAX(X$7:X$16)</f>
        <v>0</v>
      </c>
      <c r="Y21" s="71">
        <f t="shared" si="11"/>
        <v>0</v>
      </c>
      <c r="Z21" s="71">
        <f t="shared" si="11"/>
        <v>0</v>
      </c>
      <c r="AA21" s="75">
        <f t="shared" si="11"/>
        <v>0</v>
      </c>
      <c r="AB21" s="71">
        <f t="shared" si="11"/>
        <v>0</v>
      </c>
      <c r="AC21" s="71">
        <f t="shared" si="11"/>
        <v>0</v>
      </c>
      <c r="AD21" s="75">
        <f t="shared" si="11"/>
        <v>0</v>
      </c>
    </row>
  </sheetData>
  <hyperlinks>
    <hyperlink ref="A1" location="Index!A1" display="Index" xr:uid="{79633602-2851-2E42-AB88-FCF3F5C810B5}"/>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5"/>
  <sheetViews>
    <sheetView showGridLines="0" zoomScale="85" zoomScaleNormal="85" zoomScalePageLayoutView="85" workbookViewId="0">
      <selection activeCell="A2" sqref="A2"/>
    </sheetView>
  </sheetViews>
  <sheetFormatPr baseColWidth="10" defaultColWidth="8.83203125" defaultRowHeight="11" x14ac:dyDescent="0.15"/>
  <cols>
    <col min="1" max="1" width="2.1640625" style="93" customWidth="1"/>
    <col min="2" max="2" width="21.33203125" style="93" customWidth="1"/>
    <col min="3" max="14" width="15.1640625" style="93" customWidth="1"/>
    <col min="15" max="15" width="16.6640625" style="93" customWidth="1"/>
    <col min="16" max="17" width="16" style="93" customWidth="1"/>
    <col min="18" max="18" width="17.5" style="93" customWidth="1"/>
    <col min="19" max="20" width="15.33203125" style="93" customWidth="1"/>
    <col min="21" max="21" width="8.83203125" style="93"/>
    <col min="22" max="22" width="9" style="93" bestFit="1" customWidth="1"/>
    <col min="23" max="16384" width="8.83203125" style="93"/>
  </cols>
  <sheetData>
    <row r="1" spans="1:29" s="133" customFormat="1" x14ac:dyDescent="0.15">
      <c r="A1" s="132" t="s">
        <v>95</v>
      </c>
    </row>
    <row r="2" spans="1:29" s="133" customFormat="1" x14ac:dyDescent="0.15">
      <c r="A2" s="133" t="str">
        <f>Cover!$B$7</f>
        <v>Precedent transactions analysis and valuation</v>
      </c>
    </row>
    <row r="3" spans="1:29" s="135" customFormat="1" ht="16" x14ac:dyDescent="0.2">
      <c r="A3" s="134" t="str">
        <f ca="1">MID(CELL("filename",A1),FIND("]",CELL("filename",A1))+1,255)</f>
        <v>Input</v>
      </c>
    </row>
    <row r="4" spans="1:29" s="1" customFormat="1" x14ac:dyDescent="0.15">
      <c r="C4" s="2"/>
      <c r="U4" s="3"/>
    </row>
    <row r="5" spans="1:29" s="4" customFormat="1" ht="19.5" customHeight="1" x14ac:dyDescent="0.15">
      <c r="B5" s="88" t="s">
        <v>56</v>
      </c>
      <c r="C5" s="89"/>
      <c r="D5" s="89"/>
      <c r="E5" s="93"/>
      <c r="F5" s="93"/>
      <c r="G5" s="93"/>
      <c r="H5" s="93"/>
      <c r="I5" s="93"/>
      <c r="J5" s="93"/>
      <c r="K5" s="93"/>
      <c r="L5" s="93"/>
      <c r="M5" s="93"/>
      <c r="N5" s="93"/>
      <c r="O5" s="93"/>
      <c r="P5" s="93"/>
      <c r="Q5" s="93"/>
      <c r="R5" s="93"/>
      <c r="S5" s="93"/>
      <c r="T5" s="93"/>
      <c r="U5" s="93"/>
      <c r="V5" s="93"/>
      <c r="W5" s="93"/>
      <c r="X5" s="93"/>
      <c r="Y5" s="93"/>
      <c r="Z5" s="93"/>
      <c r="AA5" s="93"/>
      <c r="AB5" s="93"/>
      <c r="AC5" s="93"/>
    </row>
    <row r="6" spans="1:29" x14ac:dyDescent="0.15">
      <c r="B6" s="90"/>
      <c r="C6" s="90"/>
      <c r="D6" s="90"/>
    </row>
    <row r="7" spans="1:29" x14ac:dyDescent="0.15">
      <c r="B7" s="90" t="s">
        <v>104</v>
      </c>
      <c r="C7" s="139" t="s">
        <v>57</v>
      </c>
      <c r="D7" s="91" t="s">
        <v>58</v>
      </c>
    </row>
    <row r="8" spans="1:29" x14ac:dyDescent="0.15">
      <c r="B8" s="90"/>
      <c r="C8" s="90"/>
      <c r="D8" s="90"/>
    </row>
    <row r="9" spans="1:29" x14ac:dyDescent="0.15">
      <c r="B9" s="90" t="s">
        <v>59</v>
      </c>
      <c r="C9" s="140">
        <v>44196</v>
      </c>
      <c r="D9" s="91" t="s">
        <v>58</v>
      </c>
    </row>
    <row r="10" spans="1:29" x14ac:dyDescent="0.15">
      <c r="B10" s="90"/>
      <c r="C10" s="90"/>
      <c r="D10" s="90"/>
    </row>
    <row r="11" spans="1:29" x14ac:dyDescent="0.15">
      <c r="B11" s="90" t="s">
        <v>14</v>
      </c>
      <c r="C11" s="139" t="s">
        <v>60</v>
      </c>
      <c r="D11" s="91" t="s">
        <v>58</v>
      </c>
    </row>
    <row r="13" spans="1:29" x14ac:dyDescent="0.15">
      <c r="B13" s="93" t="s">
        <v>67</v>
      </c>
      <c r="C13" s="141" t="s">
        <v>9</v>
      </c>
      <c r="D13" s="91" t="s">
        <v>61</v>
      </c>
    </row>
    <row r="15" spans="1:29" x14ac:dyDescent="0.15">
      <c r="B15" s="93" t="s">
        <v>79</v>
      </c>
      <c r="C15" s="141" t="s">
        <v>80</v>
      </c>
      <c r="D15" s="91" t="s">
        <v>61</v>
      </c>
    </row>
    <row r="17" spans="2:29" x14ac:dyDescent="0.15">
      <c r="B17" s="90" t="s">
        <v>62</v>
      </c>
      <c r="C17" s="141" t="s">
        <v>76</v>
      </c>
      <c r="D17" s="91" t="s">
        <v>61</v>
      </c>
    </row>
    <row r="19" spans="2:29" x14ac:dyDescent="0.15">
      <c r="B19" s="93" t="s">
        <v>78</v>
      </c>
      <c r="C19" s="141" t="s">
        <v>44</v>
      </c>
      <c r="D19" s="91" t="s">
        <v>61</v>
      </c>
    </row>
    <row r="21" spans="2:29" x14ac:dyDescent="0.15">
      <c r="B21" s="90" t="s">
        <v>69</v>
      </c>
      <c r="C21" s="142">
        <v>0.5</v>
      </c>
      <c r="D21" s="91" t="s">
        <v>58</v>
      </c>
    </row>
    <row r="23" spans="2:29" x14ac:dyDescent="0.15">
      <c r="B23" s="90" t="s">
        <v>70</v>
      </c>
      <c r="C23" s="142">
        <v>0.05</v>
      </c>
      <c r="D23" s="91" t="s">
        <v>58</v>
      </c>
    </row>
    <row r="25" spans="2:29" s="4" customFormat="1" ht="19.5" customHeight="1" x14ac:dyDescent="0.15">
      <c r="B25" s="88" t="s">
        <v>84</v>
      </c>
      <c r="C25" s="89"/>
      <c r="D25" s="89"/>
      <c r="E25" s="93"/>
      <c r="F25" s="93"/>
      <c r="G25" s="93"/>
      <c r="H25" s="93"/>
      <c r="I25" s="93"/>
      <c r="J25" s="93"/>
      <c r="K25" s="93"/>
      <c r="L25" s="93"/>
      <c r="M25" s="93"/>
      <c r="N25" s="93"/>
      <c r="O25" s="93"/>
      <c r="P25" s="93"/>
      <c r="Q25" s="93"/>
      <c r="R25" s="93"/>
      <c r="S25" s="93"/>
      <c r="T25" s="93"/>
      <c r="U25" s="93"/>
      <c r="V25" s="93"/>
      <c r="W25" s="93"/>
      <c r="X25" s="93"/>
      <c r="Y25" s="93"/>
      <c r="Z25" s="93"/>
      <c r="AA25" s="93"/>
      <c r="AB25" s="93"/>
      <c r="AC25" s="93"/>
    </row>
    <row r="27" spans="2:29" x14ac:dyDescent="0.15">
      <c r="B27" s="93" t="s">
        <v>82</v>
      </c>
      <c r="C27" s="142">
        <v>-0.1</v>
      </c>
      <c r="D27" s="91" t="s">
        <v>58</v>
      </c>
    </row>
    <row r="29" spans="2:29" x14ac:dyDescent="0.15">
      <c r="B29" s="93" t="s">
        <v>93</v>
      </c>
      <c r="C29" s="142">
        <v>0.1</v>
      </c>
      <c r="D29" s="91" t="s">
        <v>58</v>
      </c>
    </row>
    <row r="31" spans="2:29" x14ac:dyDescent="0.15">
      <c r="B31" s="93" t="s">
        <v>85</v>
      </c>
      <c r="C31" s="141" t="s">
        <v>86</v>
      </c>
      <c r="D31" s="91" t="s">
        <v>61</v>
      </c>
    </row>
    <row r="33" spans="2:29" s="4" customFormat="1" ht="19.5" customHeight="1" x14ac:dyDescent="0.15">
      <c r="B33" s="88" t="s">
        <v>83</v>
      </c>
      <c r="C33" s="89"/>
      <c r="D33" s="89"/>
      <c r="E33" s="93"/>
      <c r="F33" s="93"/>
      <c r="G33" s="93"/>
      <c r="H33" s="93"/>
      <c r="I33" s="93"/>
      <c r="J33" s="93"/>
      <c r="K33" s="93"/>
      <c r="L33" s="93"/>
      <c r="M33" s="93"/>
      <c r="N33" s="93"/>
      <c r="O33" s="93"/>
      <c r="P33" s="93"/>
      <c r="Q33" s="93"/>
      <c r="R33" s="93"/>
      <c r="S33" s="93"/>
      <c r="T33" s="93"/>
      <c r="U33" s="93"/>
      <c r="V33" s="93"/>
      <c r="W33" s="93"/>
      <c r="X33" s="93"/>
      <c r="Y33" s="93"/>
      <c r="Z33" s="93"/>
      <c r="AA33" s="93"/>
      <c r="AB33" s="93"/>
      <c r="AC33" s="93"/>
    </row>
    <row r="35" spans="2:29" x14ac:dyDescent="0.15">
      <c r="B35" s="90" t="s">
        <v>71</v>
      </c>
      <c r="C35" s="142">
        <v>-0.2</v>
      </c>
      <c r="D35" s="91" t="s">
        <v>58</v>
      </c>
    </row>
  </sheetData>
  <phoneticPr fontId="16" type="noConversion"/>
  <dataValidations count="3">
    <dataValidation type="list" allowBlank="1" showInputMessage="1" showErrorMessage="1" sqref="C13" xr:uid="{00000000-0002-0000-0200-000000000000}">
      <formula1>"Revenue,EBITDA,EBIT,Earnings,Book value"</formula1>
    </dataValidation>
    <dataValidation type="list" allowBlank="1" showInputMessage="1" showErrorMessage="1" sqref="C15" xr:uid="{00000000-0002-0000-0200-000001000000}">
      <formula1>"LTM,LFY+1,LFY+2,LFY+3"</formula1>
    </dataValidation>
    <dataValidation type="list" allowBlank="1" showInputMessage="1" showErrorMessage="1" sqref="C31" xr:uid="{00000000-0002-0000-0200-000002000000}">
      <formula1>"Mid-year,End-of-year"</formula1>
    </dataValidation>
  </dataValidations>
  <hyperlinks>
    <hyperlink ref="A1" location="Index!A1" display="Index" xr:uid="{B9F688A5-4111-304B-9BBE-29DCB0074F08}"/>
  </hyperlinks>
  <pageMargins left="0.75" right="0.75" top="1" bottom="1" header="0.5" footer="0.5"/>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3000000}">
          <x14:formula1>
            <xm:f>Transactions!$W$6:$AA$6</xm:f>
          </x14:formula1>
          <xm:sqref>C17</xm:sqref>
        </x14:dataValidation>
        <x14:dataValidation type="list" allowBlank="1" showInputMessage="1" showErrorMessage="1" xr:uid="{00000000-0002-0000-0200-000004000000}">
          <x14:formula1>
            <xm:f>Transactions!$B$19:$B$20</xm:f>
          </x14:formula1>
          <xm:sqref>C19</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9"/>
  <sheetViews>
    <sheetView showGridLines="0" zoomScale="85" zoomScaleNormal="85" zoomScalePageLayoutView="85" workbookViewId="0"/>
  </sheetViews>
  <sheetFormatPr baseColWidth="10" defaultColWidth="8.83203125" defaultRowHeight="11" outlineLevelRow="1" outlineLevelCol="1" x14ac:dyDescent="0.15"/>
  <cols>
    <col min="1" max="1" width="2.1640625" style="93" customWidth="1"/>
    <col min="2" max="2" width="31.5" style="93" bestFit="1" customWidth="1"/>
    <col min="3" max="3" width="11.33203125" style="93" bestFit="1" customWidth="1"/>
    <col min="4" max="4" width="11.33203125" style="93" customWidth="1"/>
    <col min="5" max="5" width="8.83203125" style="93"/>
    <col min="6" max="6" width="2.33203125" style="93" customWidth="1"/>
    <col min="7" max="7" width="41.6640625" style="93" bestFit="1" customWidth="1"/>
    <col min="8" max="8" width="2.5" style="93" customWidth="1"/>
    <col min="9" max="13" width="8.83203125" style="93" outlineLevel="1"/>
    <col min="14" max="16384" width="8.83203125" style="93"/>
  </cols>
  <sheetData>
    <row r="1" spans="1:13" s="133" customFormat="1" x14ac:dyDescent="0.15">
      <c r="A1" s="132" t="s">
        <v>95</v>
      </c>
    </row>
    <row r="2" spans="1:13" s="133" customFormat="1" x14ac:dyDescent="0.15">
      <c r="A2" s="133" t="str">
        <f>Cover!$B$7</f>
        <v>Precedent transactions analysis and valuation</v>
      </c>
    </row>
    <row r="3" spans="1:13" s="135" customFormat="1" ht="16" x14ac:dyDescent="0.2">
      <c r="A3" s="134" t="str">
        <f ca="1">MID(CELL("filename",A1),FIND("]",CELL("filename",A1))+1,255)</f>
        <v>Valuation</v>
      </c>
    </row>
    <row r="4" spans="1:13" s="1" customFormat="1" x14ac:dyDescent="0.15">
      <c r="E4" s="2"/>
    </row>
    <row r="5" spans="1:13" s="4" customFormat="1" ht="19.5" customHeight="1" x14ac:dyDescent="0.15">
      <c r="B5" s="7" t="str">
        <f>"Precedent transactions - "&amp;Input!$C$7</f>
        <v>Precedent transactions - Name</v>
      </c>
      <c r="C5" s="8"/>
      <c r="D5" s="8"/>
      <c r="E5" s="86"/>
      <c r="G5" s="102" t="s">
        <v>73</v>
      </c>
      <c r="I5" s="116"/>
      <c r="J5" s="116" t="s">
        <v>80</v>
      </c>
      <c r="K5" s="116" t="s">
        <v>87</v>
      </c>
      <c r="L5" s="116" t="s">
        <v>88</v>
      </c>
      <c r="M5" s="116" t="s">
        <v>89</v>
      </c>
    </row>
    <row r="6" spans="1:13" s="76" customFormat="1" ht="12" collapsed="1" x14ac:dyDescent="0.15">
      <c r="B6" s="92" t="str">
        <f>Input!$C$11</f>
        <v>USDm</v>
      </c>
      <c r="C6" s="78" t="s">
        <v>54</v>
      </c>
      <c r="D6" s="78" t="s">
        <v>68</v>
      </c>
      <c r="E6" s="87" t="s">
        <v>55</v>
      </c>
      <c r="G6" s="90"/>
      <c r="I6" s="93" t="s">
        <v>90</v>
      </c>
      <c r="J6" s="124">
        <f>Input!C9</f>
        <v>44196</v>
      </c>
      <c r="K6" s="124">
        <f>EOMONTH(J6,12)</f>
        <v>44561</v>
      </c>
      <c r="L6" s="124">
        <f>EOMONTH(K6,12)</f>
        <v>44926</v>
      </c>
      <c r="M6" s="124">
        <f>EOMONTH(L6,12)</f>
        <v>45291</v>
      </c>
    </row>
    <row r="7" spans="1:13" s="4" customFormat="1" x14ac:dyDescent="0.15">
      <c r="B7" s="85" t="str">
        <f>Input!$C$19&amp;" "&amp;Input!$C$17</f>
        <v>Median EV/EBITDA multiple</v>
      </c>
      <c r="C7" s="94" t="e">
        <f>$D7*(1-Input!$C$23)</f>
        <v>#NUM!</v>
      </c>
      <c r="D7" s="111" t="e">
        <f>INDEX(Transactions!$B$6:$AA$20,MATCH(Input!$C$19,Transactions!$B$6:$B$20,0),MATCH(Input!$C$17,Transactions!$B$6:$AA$6,0))</f>
        <v>#NUM!</v>
      </c>
      <c r="E7" s="29" t="e">
        <f>$D7*(1+Input!$C$23)</f>
        <v>#NUM!</v>
      </c>
      <c r="I7" s="93" t="s">
        <v>91</v>
      </c>
      <c r="J7" s="125">
        <f>IF(J6=Input!$C$9,0,"")</f>
        <v>0</v>
      </c>
      <c r="K7" s="125">
        <f>IF(Input!$C$31="Mid-year",YEARFRAC($J6,K6,3)/2,YEARFRAC($J6,K6,3))</f>
        <v>0.5</v>
      </c>
      <c r="L7" s="125">
        <f>IF(Input!$C$31="Mid-year",YEARFRAC($J6,L6,3)/2+K7,YEARFRAC($J6,L6,3))</f>
        <v>1.5</v>
      </c>
      <c r="M7" s="125">
        <f>IF(Input!$C$31="Mid-year",L7+1,YEARFRAC($J6,M6,3))</f>
        <v>2.5</v>
      </c>
    </row>
    <row r="8" spans="1:13" s="4" customFormat="1" x14ac:dyDescent="0.15">
      <c r="B8" s="112" t="s">
        <v>81</v>
      </c>
      <c r="C8" s="113">
        <f>D8</f>
        <v>-0.1</v>
      </c>
      <c r="D8" s="114">
        <f>Input!$C$27</f>
        <v>-0.1</v>
      </c>
      <c r="E8" s="115">
        <f>D8</f>
        <v>-0.1</v>
      </c>
      <c r="I8" s="93" t="s">
        <v>92</v>
      </c>
      <c r="J8" s="126">
        <f>1/(1+Input!$C$29)^J7</f>
        <v>1</v>
      </c>
      <c r="K8" s="126">
        <f>1/(1+Input!$C$29)^K7</f>
        <v>0.95346258924559224</v>
      </c>
      <c r="L8" s="126">
        <f>1/(1+Input!$C$29)^L7</f>
        <v>0.86678417204144742</v>
      </c>
      <c r="M8" s="126">
        <f>1/(1+Input!$C$29)^M7</f>
        <v>0.78798561094677033</v>
      </c>
    </row>
    <row r="9" spans="1:13" s="4" customFormat="1" x14ac:dyDescent="0.15">
      <c r="B9" s="96" t="str">
        <f>"Adjusted "&amp;LOWER(Input!$C$19)&amp;" "&amp;Input!$C$17</f>
        <v>Adjusted median EV/EBITDA multiple</v>
      </c>
      <c r="C9" s="117" t="e">
        <f t="shared" ref="C9" si="0">C7*(1+C8)</f>
        <v>#NUM!</v>
      </c>
      <c r="D9" s="117" t="e">
        <f>D7*(1+D8)</f>
        <v>#NUM!</v>
      </c>
      <c r="E9" s="118" t="e">
        <f t="shared" ref="E9" si="1">E7*(1+E8)</f>
        <v>#NUM!</v>
      </c>
    </row>
    <row r="10" spans="1:13" s="4" customFormat="1" x14ac:dyDescent="0.15">
      <c r="A10" s="5"/>
      <c r="B10" s="95" t="str">
        <f>Input!$C$15&amp;" "&amp;Input!$C$13</f>
        <v>LTM EBITDA</v>
      </c>
      <c r="C10" s="104">
        <f>D10</f>
        <v>1000</v>
      </c>
      <c r="D10" s="105">
        <v>1000</v>
      </c>
      <c r="E10" s="106">
        <f>D10</f>
        <v>1000</v>
      </c>
      <c r="G10" s="103" t="s">
        <v>74</v>
      </c>
    </row>
    <row r="11" spans="1:13" s="4" customFormat="1" outlineLevel="1" x14ac:dyDescent="0.15">
      <c r="A11" s="5"/>
      <c r="B11" s="95" t="str">
        <f>IF(Input!$C$15="LTM","Hide row","Discount factor")</f>
        <v>Hide row</v>
      </c>
      <c r="C11" s="119">
        <f>D11</f>
        <v>1</v>
      </c>
      <c r="D11" s="119">
        <f>IF(Input!$C$15=$J$5,$J$8,IF(Input!$C$15=$K$5,$K$8,IF(Input!$C$15=$L$5,$L$8,$M$8)))</f>
        <v>1</v>
      </c>
      <c r="E11" s="120">
        <f>D11</f>
        <v>1</v>
      </c>
    </row>
    <row r="12" spans="1:13" s="4" customFormat="1" outlineLevel="1" x14ac:dyDescent="0.15">
      <c r="A12" s="5"/>
      <c r="B12" s="95" t="str">
        <f>IF(Input!$C$15="LTM","Hide row","PV of "&amp;$B$10)</f>
        <v>Hide row</v>
      </c>
      <c r="C12" s="104">
        <f>C10*C11</f>
        <v>1000</v>
      </c>
      <c r="D12" s="104">
        <f>D10*D11</f>
        <v>1000</v>
      </c>
      <c r="E12" s="106">
        <f>E10*E11</f>
        <v>1000</v>
      </c>
    </row>
    <row r="13" spans="1:13" s="4" customFormat="1" x14ac:dyDescent="0.15">
      <c r="A13" s="5"/>
      <c r="B13" s="96" t="str">
        <f>IF(LEFT(Input!$C$17,2)="EV","Implied Enterprise Value","100% Equity value")</f>
        <v>Implied Enterprise Value</v>
      </c>
      <c r="C13" s="107" t="e">
        <f>IF(Input!$C$15="LTM",C9*C10,C9*C12)</f>
        <v>#NUM!</v>
      </c>
      <c r="D13" s="107" t="e">
        <f>IF(Input!$C$15="LTM",D9*D10,D9*D12)</f>
        <v>#NUM!</v>
      </c>
      <c r="E13" s="108" t="e">
        <f>IF(Input!$C$15="LTM",E9*E10,E9*E12)</f>
        <v>#NUM!</v>
      </c>
    </row>
    <row r="14" spans="1:13" s="4" customFormat="1" outlineLevel="1" x14ac:dyDescent="0.15">
      <c r="A14" s="5"/>
      <c r="B14" s="95" t="str">
        <f>IF($B$13="Implied Enterprise Value","Less: Net debt/(cash)","Hide row")</f>
        <v>Less: Net debt/(cash)</v>
      </c>
      <c r="C14" s="104">
        <f>D14</f>
        <v>-500</v>
      </c>
      <c r="D14" s="105">
        <v>-500</v>
      </c>
      <c r="E14" s="106">
        <f>D14</f>
        <v>-500</v>
      </c>
      <c r="G14" s="103" t="s">
        <v>75</v>
      </c>
    </row>
    <row r="15" spans="1:13" s="4" customFormat="1" outlineLevel="1" x14ac:dyDescent="0.15">
      <c r="A15" s="5"/>
      <c r="B15" s="95" t="str">
        <f>IF($B$13="Implied Enterprise Value","Add: Other assets/(liabilities)","Hide row")</f>
        <v>Add: Other assets/(liabilities)</v>
      </c>
      <c r="C15" s="104">
        <f>D15</f>
        <v>200</v>
      </c>
      <c r="D15" s="105">
        <v>200</v>
      </c>
      <c r="E15" s="106">
        <f>D15</f>
        <v>200</v>
      </c>
      <c r="G15" s="103" t="s">
        <v>75</v>
      </c>
    </row>
    <row r="16" spans="1:13" s="4" customFormat="1" outlineLevel="1" x14ac:dyDescent="0.15">
      <c r="A16" s="5"/>
      <c r="B16" s="96" t="str">
        <f>IF($B$13="Implied Enterprise Value","Implied 100% equity value","Hide row")</f>
        <v>Implied 100% equity value</v>
      </c>
      <c r="C16" s="107" t="e">
        <f>SUM(C13:C15)</f>
        <v>#NUM!</v>
      </c>
      <c r="D16" s="107" t="e">
        <f>SUM(D13:D15)</f>
        <v>#NUM!</v>
      </c>
      <c r="E16" s="108" t="e">
        <f>SUM(E13:E15)</f>
        <v>#NUM!</v>
      </c>
    </row>
    <row r="17" spans="1:5" s="4" customFormat="1" x14ac:dyDescent="0.15">
      <c r="A17" s="5"/>
      <c r="B17" s="95" t="s">
        <v>72</v>
      </c>
      <c r="C17" s="99">
        <f>D17</f>
        <v>0.5</v>
      </c>
      <c r="D17" s="97">
        <f>Input!$C$21</f>
        <v>0.5</v>
      </c>
      <c r="E17" s="98">
        <f>D17</f>
        <v>0.5</v>
      </c>
    </row>
    <row r="18" spans="1:5" s="4" customFormat="1" ht="12" thickBot="1" x14ac:dyDescent="0.2">
      <c r="A18" s="5"/>
      <c r="B18" s="101" t="s">
        <v>51</v>
      </c>
      <c r="C18" s="109" t="e">
        <f>IF($B$13="Implied Enterprise Value",C16*C17,C13*C17)</f>
        <v>#NUM!</v>
      </c>
      <c r="D18" s="109" t="e">
        <f>IF($B$13="Implied Enterprise Value",D16*D17,D13*D17)</f>
        <v>#NUM!</v>
      </c>
      <c r="E18" s="110" t="e">
        <f>IF($B$13="Implied Enterprise Value",E16*E17,E13*E17)</f>
        <v>#NUM!</v>
      </c>
    </row>
    <row r="19" spans="1:5" x14ac:dyDescent="0.15">
      <c r="B19" s="127"/>
    </row>
  </sheetData>
  <hyperlinks>
    <hyperlink ref="A1" location="Index!A1" display="Index" xr:uid="{026F95A4-9B7F-284C-9CC5-816A63A62B85}"/>
  </hyperlink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0"/>
  <sheetViews>
    <sheetView showGridLines="0" zoomScale="85" zoomScaleNormal="85" zoomScalePageLayoutView="85" workbookViewId="0"/>
  </sheetViews>
  <sheetFormatPr baseColWidth="10" defaultColWidth="8.83203125" defaultRowHeight="11" outlineLevelRow="1" outlineLevelCol="1" x14ac:dyDescent="0.15"/>
  <cols>
    <col min="1" max="1" width="2.1640625" style="93" customWidth="1"/>
    <col min="2" max="2" width="31.5" style="93" bestFit="1" customWidth="1"/>
    <col min="3" max="3" width="11.33203125" style="93" bestFit="1" customWidth="1"/>
    <col min="4" max="4" width="11.33203125" style="93" customWidth="1"/>
    <col min="5" max="5" width="8.83203125" style="93"/>
    <col min="6" max="6" width="2.33203125" style="93" customWidth="1"/>
    <col min="7" max="7" width="41.6640625" style="93" bestFit="1" customWidth="1"/>
    <col min="8" max="8" width="8.83203125" style="93"/>
    <col min="9" max="13" width="8.83203125" style="93" outlineLevel="1"/>
    <col min="14" max="14" width="8.83203125" style="6"/>
    <col min="15" max="16384" width="8.83203125" style="93"/>
  </cols>
  <sheetData>
    <row r="1" spans="1:13" s="133" customFormat="1" x14ac:dyDescent="0.15">
      <c r="A1" s="132" t="s">
        <v>95</v>
      </c>
    </row>
    <row r="2" spans="1:13" s="133" customFormat="1" x14ac:dyDescent="0.15">
      <c r="A2" s="133" t="str">
        <f>Cover!$B$7</f>
        <v>Precedent transactions analysis and valuation</v>
      </c>
    </row>
    <row r="3" spans="1:13" s="135" customFormat="1" ht="16" x14ac:dyDescent="0.2">
      <c r="A3" s="134" t="str">
        <f ca="1">MID(CELL("filename",A1),FIND("]",CELL("filename",A1))+1,255)</f>
        <v>Valuation_Minority</v>
      </c>
    </row>
    <row r="4" spans="1:13" s="1" customFormat="1" x14ac:dyDescent="0.15">
      <c r="E4" s="2"/>
    </row>
    <row r="5" spans="1:13" s="4" customFormat="1" ht="19.5" customHeight="1" x14ac:dyDescent="0.15">
      <c r="B5" s="7" t="str">
        <f>"Precedent transactions - "&amp;Input!$C$7</f>
        <v>Precedent transactions - Name</v>
      </c>
      <c r="C5" s="8"/>
      <c r="D5" s="8"/>
      <c r="E5" s="86"/>
      <c r="G5" s="102" t="s">
        <v>73</v>
      </c>
      <c r="I5" s="116"/>
      <c r="J5" s="116" t="s">
        <v>80</v>
      </c>
      <c r="K5" s="116" t="s">
        <v>87</v>
      </c>
      <c r="L5" s="116" t="s">
        <v>88</v>
      </c>
      <c r="M5" s="116" t="s">
        <v>89</v>
      </c>
    </row>
    <row r="6" spans="1:13" s="76" customFormat="1" ht="12" collapsed="1" x14ac:dyDescent="0.15">
      <c r="B6" s="92" t="str">
        <f>Input!$C$11</f>
        <v>USDm</v>
      </c>
      <c r="C6" s="78" t="s">
        <v>54</v>
      </c>
      <c r="D6" s="78" t="s">
        <v>68</v>
      </c>
      <c r="E6" s="87" t="s">
        <v>55</v>
      </c>
      <c r="G6" s="90"/>
      <c r="I6" s="93" t="s">
        <v>90</v>
      </c>
      <c r="J6" s="124">
        <f>Input!C9</f>
        <v>44196</v>
      </c>
      <c r="K6" s="124">
        <f>EOMONTH(J6,12)</f>
        <v>44561</v>
      </c>
      <c r="L6" s="124">
        <f>EOMONTH(K6,12)</f>
        <v>44926</v>
      </c>
      <c r="M6" s="124">
        <f>EOMONTH(L6,12)</f>
        <v>45291</v>
      </c>
    </row>
    <row r="7" spans="1:13" s="4" customFormat="1" x14ac:dyDescent="0.15">
      <c r="B7" s="85" t="str">
        <f>Input!$C$19&amp;" "&amp;Input!$C$17</f>
        <v>Median EV/EBITDA multiple</v>
      </c>
      <c r="C7" s="94" t="e">
        <f>$D7*(1-Input!$C$23)</f>
        <v>#NUM!</v>
      </c>
      <c r="D7" s="111" t="e">
        <f>INDEX(Transactions!$B$6:$AA$20,MATCH(Input!$C$19,Transactions!$B$6:$B$20,0),MATCH(Input!$C$17,Transactions!$B$6:$AA$6,0))</f>
        <v>#NUM!</v>
      </c>
      <c r="E7" s="29" t="e">
        <f>$D7*(1+Input!$C$23)</f>
        <v>#NUM!</v>
      </c>
      <c r="I7" s="93" t="s">
        <v>91</v>
      </c>
      <c r="J7" s="125">
        <f>IF(J6=Input!$C$9,0,"")</f>
        <v>0</v>
      </c>
      <c r="K7" s="125">
        <f>IF(Input!$C$31="Mid-year",YEARFRAC($J6,K6,3)/2,YEARFRAC($J6,K6,3))</f>
        <v>0.5</v>
      </c>
      <c r="L7" s="125">
        <f>IF(Input!$C$31="Mid-year",YEARFRAC($J6,L6,3)/2+K7,YEARFRAC($J6,L6,3))</f>
        <v>1.5</v>
      </c>
      <c r="M7" s="125">
        <f>IF(Input!$C$31="Mid-year",L7+1,YEARFRAC($J6,M6,3))</f>
        <v>2.5</v>
      </c>
    </row>
    <row r="8" spans="1:13" s="4" customFormat="1" x14ac:dyDescent="0.15">
      <c r="B8" s="112" t="s">
        <v>81</v>
      </c>
      <c r="C8" s="113">
        <f>D8</f>
        <v>-0.1</v>
      </c>
      <c r="D8" s="114">
        <f>Input!$C$27</f>
        <v>-0.1</v>
      </c>
      <c r="E8" s="115">
        <f>D8</f>
        <v>-0.1</v>
      </c>
      <c r="I8" s="93" t="s">
        <v>92</v>
      </c>
      <c r="J8" s="126">
        <f>1/(1+Input!$C$29)^J7</f>
        <v>1</v>
      </c>
      <c r="K8" s="126">
        <f>1/(1+Input!$C$29)^K7</f>
        <v>0.95346258924559224</v>
      </c>
      <c r="L8" s="126">
        <f>1/(1+Input!$C$29)^L7</f>
        <v>0.86678417204144742</v>
      </c>
      <c r="M8" s="126">
        <f>1/(1+Input!$C$29)^M7</f>
        <v>0.78798561094677033</v>
      </c>
    </row>
    <row r="9" spans="1:13" s="4" customFormat="1" x14ac:dyDescent="0.15">
      <c r="B9" s="96" t="str">
        <f>"Adjusted "&amp;LOWER(Input!$C$19)&amp;" "&amp;Input!$C$17</f>
        <v>Adjusted median EV/EBITDA multiple</v>
      </c>
      <c r="C9" s="117" t="e">
        <f t="shared" ref="C9" si="0">C7*(1+C8)</f>
        <v>#NUM!</v>
      </c>
      <c r="D9" s="117" t="e">
        <f>D7*(1+D8)</f>
        <v>#NUM!</v>
      </c>
      <c r="E9" s="118" t="e">
        <f t="shared" ref="E9" si="1">E7*(1+E8)</f>
        <v>#NUM!</v>
      </c>
    </row>
    <row r="10" spans="1:13" s="4" customFormat="1" x14ac:dyDescent="0.15">
      <c r="A10" s="5"/>
      <c r="B10" s="95" t="str">
        <f>Input!$C$15&amp;" "&amp;Input!$C$13</f>
        <v>LTM EBITDA</v>
      </c>
      <c r="C10" s="104">
        <f>D10</f>
        <v>1000</v>
      </c>
      <c r="D10" s="105">
        <v>1000</v>
      </c>
      <c r="E10" s="106">
        <f>D10</f>
        <v>1000</v>
      </c>
      <c r="G10" s="103" t="s">
        <v>74</v>
      </c>
    </row>
    <row r="11" spans="1:13" s="4" customFormat="1" outlineLevel="1" x14ac:dyDescent="0.15">
      <c r="A11" s="5"/>
      <c r="B11" s="95" t="str">
        <f>IF(Input!$C$15="LTM","Hide row","Discount factor")</f>
        <v>Hide row</v>
      </c>
      <c r="C11" s="119">
        <f>D11</f>
        <v>1</v>
      </c>
      <c r="D11" s="119">
        <f>IF(Input!$C$15=$J$5,$J$8,IF(Input!$C$15=$K$5,$K$8,IF(Input!$C$15=$L$5,$L$8,$M$8)))</f>
        <v>1</v>
      </c>
      <c r="E11" s="120">
        <f>D11</f>
        <v>1</v>
      </c>
    </row>
    <row r="12" spans="1:13" s="4" customFormat="1" outlineLevel="1" x14ac:dyDescent="0.15">
      <c r="A12" s="5"/>
      <c r="B12" s="95" t="str">
        <f>IF(Input!$C$15="LTM","Hide row","PV of "&amp;$B$10)</f>
        <v>Hide row</v>
      </c>
      <c r="C12" s="104">
        <f>C10*C11</f>
        <v>1000</v>
      </c>
      <c r="D12" s="104">
        <f>D10*D11</f>
        <v>1000</v>
      </c>
      <c r="E12" s="106">
        <f>E10*E11</f>
        <v>1000</v>
      </c>
    </row>
    <row r="13" spans="1:13" s="4" customFormat="1" x14ac:dyDescent="0.15">
      <c r="A13" s="5"/>
      <c r="B13" s="96" t="str">
        <f>IF(LEFT(Input!$C$17,2)="EV","Implied Enterprise Value","100% Equity value")</f>
        <v>Implied Enterprise Value</v>
      </c>
      <c r="C13" s="107" t="e">
        <f>IF(Input!$C$15="LTM",C9*C10,C9*C12)</f>
        <v>#NUM!</v>
      </c>
      <c r="D13" s="107" t="e">
        <f>IF(Input!$C$15="LTM",D9*D10,D9*D12)</f>
        <v>#NUM!</v>
      </c>
      <c r="E13" s="108" t="e">
        <f>IF(Input!$C$15="LTM",E9*E10,E9*E12)</f>
        <v>#NUM!</v>
      </c>
    </row>
    <row r="14" spans="1:13" s="4" customFormat="1" outlineLevel="1" x14ac:dyDescent="0.15">
      <c r="A14" s="5"/>
      <c r="B14" s="95" t="str">
        <f>IF($B$13="Implied Enterprise Value","Less: Net debt/(cash)","Hide row")</f>
        <v>Less: Net debt/(cash)</v>
      </c>
      <c r="C14" s="104">
        <f>D14</f>
        <v>-500</v>
      </c>
      <c r="D14" s="105">
        <v>-500</v>
      </c>
      <c r="E14" s="106">
        <f>D14</f>
        <v>-500</v>
      </c>
      <c r="G14" s="103" t="s">
        <v>75</v>
      </c>
    </row>
    <row r="15" spans="1:13" s="4" customFormat="1" outlineLevel="1" x14ac:dyDescent="0.15">
      <c r="A15" s="5"/>
      <c r="B15" s="95" t="str">
        <f>IF($B$13="Implied Enterprise Value","Add: Other assets/(liabilities)","Hide row")</f>
        <v>Add: Other assets/(liabilities)</v>
      </c>
      <c r="C15" s="104">
        <f>D15</f>
        <v>200</v>
      </c>
      <c r="D15" s="105">
        <v>200</v>
      </c>
      <c r="E15" s="106">
        <f>D15</f>
        <v>200</v>
      </c>
      <c r="G15" s="103" t="s">
        <v>75</v>
      </c>
    </row>
    <row r="16" spans="1:13" s="4" customFormat="1" outlineLevel="1" x14ac:dyDescent="0.15">
      <c r="A16" s="5"/>
      <c r="B16" s="96" t="str">
        <f>IF($B$13="Implied Enterprise Value","Implied 100% equity value","Hide row")</f>
        <v>Implied 100% equity value</v>
      </c>
      <c r="C16" s="107" t="e">
        <f>SUM(C13:C15)</f>
        <v>#NUM!</v>
      </c>
      <c r="D16" s="107" t="e">
        <f>SUM(D13:D15)</f>
        <v>#NUM!</v>
      </c>
      <c r="E16" s="108" t="e">
        <f>SUM(E13:E15)</f>
        <v>#NUM!</v>
      </c>
    </row>
    <row r="17" spans="1:14" s="4" customFormat="1" x14ac:dyDescent="0.15">
      <c r="A17" s="5"/>
      <c r="B17" s="95" t="s">
        <v>72</v>
      </c>
      <c r="C17" s="99">
        <f>D17</f>
        <v>0.5</v>
      </c>
      <c r="D17" s="97">
        <f>Input!$C$21</f>
        <v>0.5</v>
      </c>
      <c r="E17" s="98">
        <f>D17</f>
        <v>0.5</v>
      </c>
    </row>
    <row r="18" spans="1:14" s="4" customFormat="1" x14ac:dyDescent="0.15">
      <c r="A18" s="5"/>
      <c r="B18" s="121" t="s">
        <v>51</v>
      </c>
      <c r="C18" s="122" t="e">
        <f>IF($B$13="Implied Enterprise Value",C16*C17,C13*C17)</f>
        <v>#NUM!</v>
      </c>
      <c r="D18" s="122" t="e">
        <f>IF($B$13="Implied Enterprise Value",D16*D17,D13*D17)</f>
        <v>#NUM!</v>
      </c>
      <c r="E18" s="123" t="e">
        <f>IF($B$13="Implied Enterprise Value",E16*E17,E13*E17)</f>
        <v>#NUM!</v>
      </c>
    </row>
    <row r="19" spans="1:14" x14ac:dyDescent="0.15">
      <c r="B19" s="95" t="s">
        <v>52</v>
      </c>
      <c r="C19" s="97">
        <f>D19</f>
        <v>-0.2</v>
      </c>
      <c r="D19" s="97">
        <f>Input!$C$35</f>
        <v>-0.2</v>
      </c>
      <c r="E19" s="100">
        <f>D19</f>
        <v>-0.2</v>
      </c>
      <c r="N19" s="93"/>
    </row>
    <row r="20" spans="1:14" ht="12" thickBot="1" x14ac:dyDescent="0.2">
      <c r="B20" s="101" t="s">
        <v>53</v>
      </c>
      <c r="C20" s="109" t="e">
        <f>C18*(1+C19)</f>
        <v>#NUM!</v>
      </c>
      <c r="D20" s="109" t="e">
        <f>D18*(1+D19)</f>
        <v>#NUM!</v>
      </c>
      <c r="E20" s="110" t="e">
        <f>E18*(1+E19)</f>
        <v>#NUM!</v>
      </c>
      <c r="N20" s="93"/>
    </row>
  </sheetData>
  <hyperlinks>
    <hyperlink ref="A1" location="Index!A1" display="Index" xr:uid="{9258E032-B06F-074D-8A24-1FFDC167FAC0}"/>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Cover</vt:lpstr>
      <vt:lpstr>Index</vt:lpstr>
      <vt:lpstr>Instructions</vt:lpstr>
      <vt:lpstr>Transactions</vt:lpstr>
      <vt:lpstr>Input</vt:lpstr>
      <vt:lpstr>Valuation</vt:lpstr>
      <vt:lpstr>Valuation_Minority</vt:lpstr>
    </vt:vector>
  </TitlesOfParts>
  <Manager/>
  <Company>Big 4 Confidential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Big 4 Confidential</dc:creator>
  <cp:keywords/>
  <dc:description/>
  <cp:lastModifiedBy>Diletta Orlando</cp:lastModifiedBy>
  <dcterms:created xsi:type="dcterms:W3CDTF">2021-03-07T15:41:39Z</dcterms:created>
  <dcterms:modified xsi:type="dcterms:W3CDTF">2021-04-06T10:33:26Z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0x010100B1C71893300AAB418A35768AE828B8EE</vt:lpwstr>
  </property>
</Properties>
</file>